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Cocorna_III\02_Info_calculos_Patricia\Anexos\Anexo2. Con_Proyecto\Anexo2.1_Desarenador\"/>
    </mc:Choice>
  </mc:AlternateContent>
  <xr:revisionPtr revIDLastSave="0" documentId="13_ncr:1_{6E757477-31B7-4418-A916-6810A2F039E9}" xr6:coauthVersionLast="47" xr6:coauthVersionMax="47" xr10:uidLastSave="{00000000-0000-0000-0000-000000000000}"/>
  <bookViews>
    <workbookView xWindow="390" yWindow="390" windowWidth="15090" windowHeight="14670" firstSheet="1" activeTab="4" xr2:uid="{00000000-000D-0000-FFFF-FFFF00000000}"/>
  </bookViews>
  <sheets>
    <sheet name="Granumometrias" sheetId="4" r:id="rId1"/>
    <sheet name="Pantagoras" sheetId="5" r:id="rId2"/>
    <sheet name="Grafica juntas" sheetId="6" r:id="rId3"/>
    <sheet name="Mery_desarenador" sheetId="8" r:id="rId4"/>
    <sheet name="Mery_azud_descarga_fondo" sheetId="9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9" l="1"/>
  <c r="B24" i="9"/>
  <c r="K27" i="9"/>
  <c r="G24" i="9"/>
  <c r="J18" i="9"/>
  <c r="B18" i="9"/>
  <c r="A18" i="9"/>
  <c r="G18" i="9" s="1"/>
  <c r="H18" i="9" s="1"/>
  <c r="J17" i="9"/>
  <c r="E17" i="9"/>
  <c r="F17" i="9" s="1"/>
  <c r="D17" i="9"/>
  <c r="B17" i="9"/>
  <c r="C18" i="9" s="1"/>
  <c r="A17" i="9"/>
  <c r="D18" i="9" s="1"/>
  <c r="J16" i="9"/>
  <c r="G16" i="9"/>
  <c r="H16" i="9" s="1"/>
  <c r="B16" i="9"/>
  <c r="C17" i="9" s="1"/>
  <c r="A16" i="9"/>
  <c r="J15" i="9"/>
  <c r="K15" i="9" s="1"/>
  <c r="G15" i="9"/>
  <c r="H15" i="9" s="1"/>
  <c r="B15" i="9"/>
  <c r="C16" i="9" s="1"/>
  <c r="A15" i="9"/>
  <c r="E16" i="9" s="1"/>
  <c r="F16" i="9" s="1"/>
  <c r="J14" i="9"/>
  <c r="E14" i="9"/>
  <c r="F14" i="9" s="1"/>
  <c r="B14" i="9"/>
  <c r="A14" i="9"/>
  <c r="E15" i="9" s="1"/>
  <c r="J13" i="9"/>
  <c r="K13" i="9" s="1"/>
  <c r="D13" i="9"/>
  <c r="B13" i="9"/>
  <c r="C14" i="9" s="1"/>
  <c r="A13" i="9"/>
  <c r="E13" i="9" s="1"/>
  <c r="J12" i="9"/>
  <c r="G12" i="9"/>
  <c r="H12" i="9" s="1"/>
  <c r="D12" i="9"/>
  <c r="C12" i="9"/>
  <c r="B12" i="9"/>
  <c r="C13" i="9" s="1"/>
  <c r="A12" i="9"/>
  <c r="J11" i="9"/>
  <c r="G11" i="9"/>
  <c r="H11" i="9" s="1"/>
  <c r="B11" i="9"/>
  <c r="A11" i="9"/>
  <c r="E12" i="9" s="1"/>
  <c r="F12" i="9" s="1"/>
  <c r="J10" i="9"/>
  <c r="B10" i="9"/>
  <c r="C11" i="9" s="1"/>
  <c r="I11" i="9" s="1"/>
  <c r="A10" i="9"/>
  <c r="D11" i="9" s="1"/>
  <c r="J9" i="9"/>
  <c r="K9" i="9" s="1"/>
  <c r="E9" i="9"/>
  <c r="D9" i="9"/>
  <c r="B9" i="9"/>
  <c r="C10" i="9" s="1"/>
  <c r="A9" i="9"/>
  <c r="D10" i="9" s="1"/>
  <c r="J8" i="9"/>
  <c r="G8" i="9"/>
  <c r="H8" i="9" s="1"/>
  <c r="D8" i="9"/>
  <c r="B8" i="9"/>
  <c r="C9" i="9" s="1"/>
  <c r="A8" i="9"/>
  <c r="E8" i="9" s="1"/>
  <c r="J7" i="9"/>
  <c r="G7" i="9"/>
  <c r="H7" i="9" s="1"/>
  <c r="B7" i="9"/>
  <c r="C8" i="9" s="1"/>
  <c r="A7" i="9"/>
  <c r="E7" i="9" s="1"/>
  <c r="J6" i="9"/>
  <c r="K6" i="9" s="1"/>
  <c r="E6" i="9"/>
  <c r="F6" i="9" s="1"/>
  <c r="B6" i="9"/>
  <c r="A6" i="9"/>
  <c r="D7" i="9" s="1"/>
  <c r="J5" i="9"/>
  <c r="B5" i="9"/>
  <c r="C6" i="9" s="1"/>
  <c r="A5" i="9"/>
  <c r="E5" i="9" s="1"/>
  <c r="J4" i="9"/>
  <c r="J22" i="9" s="1"/>
  <c r="G4" i="9"/>
  <c r="H4" i="9" s="1"/>
  <c r="C4" i="9"/>
  <c r="B4" i="9"/>
  <c r="C5" i="9" s="1"/>
  <c r="A4" i="9"/>
  <c r="B3" i="9"/>
  <c r="A3" i="9"/>
  <c r="D4" i="9" s="1"/>
  <c r="K28" i="8"/>
  <c r="J22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4" i="8"/>
  <c r="I4" i="9" l="1"/>
  <c r="I12" i="9"/>
  <c r="F5" i="9"/>
  <c r="I8" i="9"/>
  <c r="K18" i="9"/>
  <c r="K17" i="9"/>
  <c r="I6" i="9"/>
  <c r="K14" i="9"/>
  <c r="K5" i="9"/>
  <c r="K7" i="9"/>
  <c r="F13" i="9"/>
  <c r="K4" i="9"/>
  <c r="K16" i="9"/>
  <c r="K8" i="9"/>
  <c r="K12" i="9"/>
  <c r="K10" i="9"/>
  <c r="F8" i="9"/>
  <c r="F9" i="9"/>
  <c r="K11" i="9"/>
  <c r="I16" i="9"/>
  <c r="I18" i="9"/>
  <c r="D5" i="9"/>
  <c r="G5" i="9"/>
  <c r="H5" i="9" s="1"/>
  <c r="I5" i="9" s="1"/>
  <c r="D6" i="9"/>
  <c r="E11" i="9"/>
  <c r="F11" i="9" s="1"/>
  <c r="G13" i="9"/>
  <c r="H13" i="9" s="1"/>
  <c r="I13" i="9" s="1"/>
  <c r="D14" i="9"/>
  <c r="E4" i="9"/>
  <c r="F4" i="9" s="1"/>
  <c r="G6" i="9"/>
  <c r="H6" i="9" s="1"/>
  <c r="G14" i="9"/>
  <c r="H14" i="9" s="1"/>
  <c r="I14" i="9" s="1"/>
  <c r="D15" i="9"/>
  <c r="C7" i="9"/>
  <c r="I7" i="9" s="1"/>
  <c r="C15" i="9"/>
  <c r="I15" i="9" s="1"/>
  <c r="G9" i="9"/>
  <c r="H9" i="9" s="1"/>
  <c r="I9" i="9" s="1"/>
  <c r="G17" i="9"/>
  <c r="H17" i="9" s="1"/>
  <c r="I17" i="9" s="1"/>
  <c r="E18" i="9"/>
  <c r="F18" i="9" s="1"/>
  <c r="D16" i="9"/>
  <c r="E10" i="9"/>
  <c r="F10" i="9" s="1"/>
  <c r="G10" i="9"/>
  <c r="H10" i="9" s="1"/>
  <c r="I10" i="9" s="1"/>
  <c r="G4" i="8"/>
  <c r="F4" i="8"/>
  <c r="E4" i="8"/>
  <c r="D4" i="8"/>
  <c r="C4" i="8"/>
  <c r="A4" i="8"/>
  <c r="B4" i="8"/>
  <c r="A5" i="8"/>
  <c r="B5" i="8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B3" i="8"/>
  <c r="A3" i="8"/>
  <c r="AJ50" i="4"/>
  <c r="AJ42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33" i="4"/>
  <c r="AJ41" i="4"/>
  <c r="AJ40" i="4"/>
  <c r="AJ39" i="4"/>
  <c r="AJ38" i="4"/>
  <c r="AJ37" i="4"/>
  <c r="K30" i="9" l="1"/>
  <c r="K22" i="9"/>
  <c r="F7" i="9"/>
  <c r="F22" i="9" s="1"/>
  <c r="K29" i="9"/>
  <c r="F15" i="9"/>
  <c r="I24" i="9"/>
  <c r="B25" i="9"/>
  <c r="K28" i="9"/>
  <c r="G24" i="8"/>
  <c r="H4" i="8" s="1"/>
  <c r="I4" i="8" s="1"/>
  <c r="G17" i="8"/>
  <c r="E16" i="8"/>
  <c r="E15" i="8"/>
  <c r="D15" i="8"/>
  <c r="G14" i="8"/>
  <c r="E14" i="8"/>
  <c r="D14" i="8"/>
  <c r="D13" i="8"/>
  <c r="E11" i="8"/>
  <c r="G9" i="8"/>
  <c r="H9" i="8" s="1"/>
  <c r="E8" i="8"/>
  <c r="D7" i="8"/>
  <c r="D5" i="8"/>
  <c r="X35" i="4"/>
  <c r="AC35" i="4" s="1"/>
  <c r="Y35" i="4"/>
  <c r="Z35" i="4"/>
  <c r="AA35" i="4"/>
  <c r="AB35" i="4"/>
  <c r="X36" i="4"/>
  <c r="Y36" i="4"/>
  <c r="Z36" i="4"/>
  <c r="AA36" i="4"/>
  <c r="AC36" i="4" s="1"/>
  <c r="AB36" i="4"/>
  <c r="X37" i="4"/>
  <c r="Y37" i="4"/>
  <c r="Z37" i="4"/>
  <c r="AA37" i="4"/>
  <c r="AB37" i="4"/>
  <c r="X38" i="4"/>
  <c r="AC38" i="4" s="1"/>
  <c r="Y38" i="4"/>
  <c r="Z38" i="4"/>
  <c r="AA38" i="4"/>
  <c r="AB38" i="4"/>
  <c r="X39" i="4"/>
  <c r="Y39" i="4"/>
  <c r="Z39" i="4"/>
  <c r="AA39" i="4"/>
  <c r="AB39" i="4"/>
  <c r="AC39" i="4" s="1"/>
  <c r="X40" i="4"/>
  <c r="Y40" i="4"/>
  <c r="AC40" i="4" s="1"/>
  <c r="Z40" i="4"/>
  <c r="AA40" i="4"/>
  <c r="AB40" i="4"/>
  <c r="X41" i="4"/>
  <c r="AC41" i="4" s="1"/>
  <c r="Y41" i="4"/>
  <c r="Z41" i="4"/>
  <c r="AA41" i="4"/>
  <c r="AB41" i="4"/>
  <c r="X42" i="4"/>
  <c r="Y42" i="4"/>
  <c r="Z42" i="4"/>
  <c r="AA42" i="4"/>
  <c r="AC42" i="4" s="1"/>
  <c r="AB42" i="4"/>
  <c r="X43" i="4"/>
  <c r="AC43" i="4" s="1"/>
  <c r="Y43" i="4"/>
  <c r="Z43" i="4"/>
  <c r="AA43" i="4"/>
  <c r="AB43" i="4"/>
  <c r="X44" i="4"/>
  <c r="Y44" i="4"/>
  <c r="Z44" i="4"/>
  <c r="AA44" i="4"/>
  <c r="AC44" i="4" s="1"/>
  <c r="AB44" i="4"/>
  <c r="X45" i="4"/>
  <c r="Y45" i="4"/>
  <c r="Z45" i="4"/>
  <c r="AA45" i="4"/>
  <c r="AB45" i="4"/>
  <c r="X46" i="4"/>
  <c r="AC46" i="4" s="1"/>
  <c r="Y46" i="4"/>
  <c r="Z46" i="4"/>
  <c r="AA46" i="4"/>
  <c r="AB46" i="4"/>
  <c r="X47" i="4"/>
  <c r="Y47" i="4"/>
  <c r="Z47" i="4"/>
  <c r="AA47" i="4"/>
  <c r="AC47" i="4" s="1"/>
  <c r="AB47" i="4"/>
  <c r="X48" i="4"/>
  <c r="Y48" i="4"/>
  <c r="AC48" i="4" s="1"/>
  <c r="Z48" i="4"/>
  <c r="AA48" i="4"/>
  <c r="AB48" i="4"/>
  <c r="Y34" i="4"/>
  <c r="Z34" i="4"/>
  <c r="AA34" i="4"/>
  <c r="AB34" i="4"/>
  <c r="X34" i="4"/>
  <c r="AC34" i="4" s="1"/>
  <c r="S34" i="4"/>
  <c r="AF33" i="4"/>
  <c r="AC37" i="4"/>
  <c r="AC45" i="4"/>
  <c r="S35" i="4"/>
  <c r="T35" i="4"/>
  <c r="U35" i="4"/>
  <c r="V35" i="4"/>
  <c r="W35" i="4"/>
  <c r="S36" i="4"/>
  <c r="T36" i="4"/>
  <c r="U36" i="4"/>
  <c r="V36" i="4"/>
  <c r="W36" i="4"/>
  <c r="S37" i="4"/>
  <c r="T37" i="4"/>
  <c r="U37" i="4"/>
  <c r="V37" i="4"/>
  <c r="W37" i="4"/>
  <c r="S38" i="4"/>
  <c r="T38" i="4"/>
  <c r="U38" i="4"/>
  <c r="V38" i="4"/>
  <c r="W38" i="4"/>
  <c r="S39" i="4"/>
  <c r="T39" i="4"/>
  <c r="U39" i="4"/>
  <c r="V39" i="4"/>
  <c r="W39" i="4"/>
  <c r="S40" i="4"/>
  <c r="T40" i="4"/>
  <c r="U40" i="4"/>
  <c r="V40" i="4"/>
  <c r="W40" i="4"/>
  <c r="S41" i="4"/>
  <c r="T41" i="4"/>
  <c r="U41" i="4"/>
  <c r="V41" i="4"/>
  <c r="W41" i="4"/>
  <c r="S42" i="4"/>
  <c r="T42" i="4"/>
  <c r="U42" i="4"/>
  <c r="V42" i="4"/>
  <c r="W42" i="4"/>
  <c r="S43" i="4"/>
  <c r="T43" i="4"/>
  <c r="U43" i="4"/>
  <c r="V43" i="4"/>
  <c r="W43" i="4"/>
  <c r="S44" i="4"/>
  <c r="T44" i="4"/>
  <c r="U44" i="4"/>
  <c r="V44" i="4"/>
  <c r="W44" i="4"/>
  <c r="S45" i="4"/>
  <c r="T45" i="4"/>
  <c r="U45" i="4"/>
  <c r="V45" i="4"/>
  <c r="W45" i="4"/>
  <c r="S46" i="4"/>
  <c r="T46" i="4"/>
  <c r="U46" i="4"/>
  <c r="V46" i="4"/>
  <c r="W46" i="4"/>
  <c r="S47" i="4"/>
  <c r="T47" i="4"/>
  <c r="U47" i="4"/>
  <c r="V47" i="4"/>
  <c r="W47" i="4"/>
  <c r="S48" i="4"/>
  <c r="T48" i="4"/>
  <c r="U48" i="4"/>
  <c r="V48" i="4"/>
  <c r="W48" i="4"/>
  <c r="T34" i="4"/>
  <c r="U34" i="4"/>
  <c r="V34" i="4"/>
  <c r="W34" i="4"/>
  <c r="N31" i="4"/>
  <c r="R31" i="4"/>
  <c r="Q31" i="4"/>
  <c r="P31" i="4"/>
  <c r="O31" i="4"/>
  <c r="N34" i="4"/>
  <c r="O34" i="4"/>
  <c r="P34" i="4"/>
  <c r="Q34" i="4"/>
  <c r="R34" i="4"/>
  <c r="N35" i="4"/>
  <c r="O35" i="4"/>
  <c r="P35" i="4"/>
  <c r="Q35" i="4"/>
  <c r="R35" i="4"/>
  <c r="N36" i="4"/>
  <c r="O36" i="4"/>
  <c r="P36" i="4"/>
  <c r="Q36" i="4"/>
  <c r="R36" i="4"/>
  <c r="N37" i="4"/>
  <c r="O37" i="4"/>
  <c r="P37" i="4"/>
  <c r="Q37" i="4"/>
  <c r="R37" i="4"/>
  <c r="N38" i="4"/>
  <c r="O38" i="4"/>
  <c r="P38" i="4"/>
  <c r="Q38" i="4"/>
  <c r="R38" i="4"/>
  <c r="N39" i="4"/>
  <c r="O39" i="4"/>
  <c r="P39" i="4"/>
  <c r="Q39" i="4"/>
  <c r="R39" i="4"/>
  <c r="N40" i="4"/>
  <c r="O40" i="4"/>
  <c r="P40" i="4"/>
  <c r="Q40" i="4"/>
  <c r="R40" i="4"/>
  <c r="N41" i="4"/>
  <c r="O41" i="4"/>
  <c r="P41" i="4"/>
  <c r="Q41" i="4"/>
  <c r="R41" i="4"/>
  <c r="N42" i="4"/>
  <c r="O42" i="4"/>
  <c r="P42" i="4"/>
  <c r="Q42" i="4"/>
  <c r="R42" i="4"/>
  <c r="N43" i="4"/>
  <c r="O43" i="4"/>
  <c r="P43" i="4"/>
  <c r="Q43" i="4"/>
  <c r="R43" i="4"/>
  <c r="N44" i="4"/>
  <c r="O44" i="4"/>
  <c r="P44" i="4"/>
  <c r="Q44" i="4"/>
  <c r="R44" i="4"/>
  <c r="N45" i="4"/>
  <c r="O45" i="4"/>
  <c r="P45" i="4"/>
  <c r="Q45" i="4"/>
  <c r="R45" i="4"/>
  <c r="N46" i="4"/>
  <c r="O46" i="4"/>
  <c r="P46" i="4"/>
  <c r="Q46" i="4"/>
  <c r="R46" i="4"/>
  <c r="N47" i="4"/>
  <c r="O47" i="4"/>
  <c r="P47" i="4"/>
  <c r="Q47" i="4"/>
  <c r="R47" i="4"/>
  <c r="N48" i="4"/>
  <c r="O48" i="4"/>
  <c r="P48" i="4"/>
  <c r="Q48" i="4"/>
  <c r="R48" i="4"/>
  <c r="R33" i="4"/>
  <c r="Q33" i="4"/>
  <c r="P33" i="4"/>
  <c r="O33" i="4"/>
  <c r="N33" i="4"/>
  <c r="R32" i="4"/>
  <c r="Q32" i="4"/>
  <c r="P32" i="4"/>
  <c r="O32" i="4"/>
  <c r="N32" i="4"/>
  <c r="H14" i="8" l="1"/>
  <c r="H17" i="8"/>
  <c r="D6" i="8"/>
  <c r="G8" i="8"/>
  <c r="H8" i="8" s="1"/>
  <c r="D12" i="8"/>
  <c r="E6" i="8"/>
  <c r="D9" i="8"/>
  <c r="G16" i="8"/>
  <c r="H16" i="8" s="1"/>
  <c r="G6" i="8"/>
  <c r="H6" i="8" s="1"/>
  <c r="D8" i="8"/>
  <c r="D11" i="8"/>
  <c r="D17" i="8"/>
  <c r="E12" i="8"/>
  <c r="E7" i="8"/>
  <c r="G11" i="8"/>
  <c r="H11" i="8" s="1"/>
  <c r="D16" i="8"/>
  <c r="E9" i="8"/>
  <c r="E17" i="8"/>
  <c r="E10" i="8"/>
  <c r="G12" i="8"/>
  <c r="H12" i="8" s="1"/>
  <c r="E18" i="8"/>
  <c r="D18" i="8"/>
  <c r="E5" i="8"/>
  <c r="G7" i="8"/>
  <c r="H7" i="8" s="1"/>
  <c r="E13" i="8"/>
  <c r="G15" i="8"/>
  <c r="H15" i="8" s="1"/>
  <c r="D10" i="8"/>
  <c r="G10" i="8"/>
  <c r="H10" i="8" s="1"/>
  <c r="G18" i="8"/>
  <c r="H18" i="8" s="1"/>
  <c r="G5" i="8"/>
  <c r="H5" i="8" s="1"/>
  <c r="G13" i="8"/>
  <c r="H13" i="8" s="1"/>
  <c r="AC49" i="4"/>
  <c r="AD35" i="4" s="1"/>
  <c r="AD43" i="4" l="1"/>
  <c r="AD45" i="4"/>
  <c r="AD39" i="4"/>
  <c r="AD41" i="4"/>
  <c r="AD38" i="4"/>
  <c r="AD47" i="4"/>
  <c r="AD37" i="4"/>
  <c r="AD48" i="4"/>
  <c r="AD36" i="4"/>
  <c r="AD44" i="4"/>
  <c r="AD46" i="4"/>
  <c r="AD34" i="4"/>
  <c r="AE34" i="4" s="1"/>
  <c r="AF34" i="4" s="1"/>
  <c r="AD40" i="4"/>
  <c r="AD42" i="4"/>
  <c r="AE35" i="4"/>
  <c r="AE36" i="4" l="1"/>
  <c r="AF35" i="4"/>
  <c r="AE37" i="4" l="1"/>
  <c r="AF36" i="4"/>
  <c r="AE38" i="4" l="1"/>
  <c r="AF37" i="4"/>
  <c r="AE39" i="4" l="1"/>
  <c r="AF38" i="4"/>
  <c r="AE40" i="4" l="1"/>
  <c r="AF39" i="4"/>
  <c r="AE41" i="4" l="1"/>
  <c r="AF40" i="4"/>
  <c r="AE42" i="4" l="1"/>
  <c r="AF41" i="4"/>
  <c r="AE43" i="4" l="1"/>
  <c r="AF42" i="4"/>
  <c r="AE44" i="4" l="1"/>
  <c r="AF43" i="4"/>
  <c r="AE45" i="4" l="1"/>
  <c r="AF44" i="4"/>
  <c r="AE46" i="4" l="1"/>
  <c r="AF45" i="4"/>
  <c r="AE47" i="4" l="1"/>
  <c r="AF46" i="4"/>
  <c r="AE48" i="4" l="1"/>
  <c r="AF48" i="4" s="1"/>
  <c r="AF47" i="4"/>
  <c r="C8" i="8"/>
  <c r="C16" i="8"/>
  <c r="C15" i="8"/>
  <c r="C10" i="8"/>
  <c r="C9" i="8"/>
  <c r="C17" i="8"/>
  <c r="F17" i="8" s="1"/>
  <c r="C7" i="8"/>
  <c r="I7" i="8" s="1"/>
  <c r="F6" i="8"/>
  <c r="C6" i="8"/>
  <c r="I6" i="8" s="1"/>
  <c r="C18" i="8"/>
  <c r="C12" i="8"/>
  <c r="B24" i="8"/>
  <c r="C13" i="8"/>
  <c r="F13" i="8" s="1"/>
  <c r="C14" i="8"/>
  <c r="C11" i="8"/>
  <c r="I11" i="8" s="1"/>
  <c r="F7" i="8" l="1"/>
  <c r="I12" i="8"/>
  <c r="F12" i="8"/>
  <c r="I16" i="8"/>
  <c r="F16" i="8"/>
  <c r="I9" i="8"/>
  <c r="F9" i="8"/>
  <c r="I15" i="8"/>
  <c r="F15" i="8"/>
  <c r="F14" i="8"/>
  <c r="I14" i="8"/>
  <c r="I18" i="8"/>
  <c r="F18" i="8"/>
  <c r="F8" i="8"/>
  <c r="I8" i="8"/>
  <c r="F10" i="8"/>
  <c r="I10" i="8"/>
  <c r="B25" i="8"/>
  <c r="I13" i="8"/>
  <c r="F11" i="8"/>
  <c r="I17" i="8"/>
  <c r="C5" i="8"/>
  <c r="F5" i="8" l="1"/>
  <c r="F22" i="8" s="1"/>
  <c r="I5" i="8"/>
  <c r="I22" i="8"/>
  <c r="I24" i="8" s="1"/>
  <c r="K27" i="8" l="1"/>
  <c r="K13" i="8"/>
  <c r="K14" i="8"/>
  <c r="K15" i="8"/>
  <c r="K11" i="8"/>
  <c r="K8" i="8"/>
  <c r="K12" i="8"/>
  <c r="K17" i="8"/>
  <c r="K16" i="8"/>
  <c r="K10" i="8"/>
  <c r="K5" i="8"/>
  <c r="K9" i="8"/>
  <c r="K18" i="8"/>
  <c r="K6" i="8"/>
  <c r="K7" i="8"/>
  <c r="K29" i="8" l="1"/>
  <c r="K4" i="8"/>
  <c r="K30" i="8" l="1"/>
  <c r="K22" i="8"/>
</calcChain>
</file>

<file path=xl/sharedStrings.xml><?xml version="1.0" encoding="utf-8"?>
<sst xmlns="http://schemas.openxmlformats.org/spreadsheetml/2006/main" count="203" uniqueCount="65">
  <si>
    <t>%</t>
  </si>
  <si>
    <t>TAMIZ</t>
  </si>
  <si>
    <t>DIAMETRO</t>
  </si>
  <si>
    <t>PORCENTAJE QUE PASA</t>
  </si>
  <si>
    <t>ANÁLISIS GRANULOMÉTRICO</t>
  </si>
  <si>
    <t>mm.</t>
  </si>
  <si>
    <t>%pasa</t>
  </si>
  <si>
    <t>3"</t>
  </si>
  <si>
    <t>2"</t>
  </si>
  <si>
    <t>1 1/2"</t>
  </si>
  <si>
    <t>1"</t>
  </si>
  <si>
    <t>3/4"</t>
  </si>
  <si>
    <t>3/8"</t>
  </si>
  <si>
    <t>No. 4</t>
  </si>
  <si>
    <t>No. 10</t>
  </si>
  <si>
    <t>No. 20</t>
  </si>
  <si>
    <t>No. 40</t>
  </si>
  <si>
    <t>No. 60</t>
  </si>
  <si>
    <t>No. 140</t>
  </si>
  <si>
    <t>No. 200</t>
  </si>
  <si>
    <t>HIDRÓMETRO</t>
  </si>
  <si>
    <t>152H</t>
  </si>
  <si>
    <t>Captación Sup grueso</t>
  </si>
  <si>
    <t>Captación Sup fino</t>
  </si>
  <si>
    <t>Peso</t>
  </si>
  <si>
    <t>Medio subsup</t>
  </si>
  <si>
    <t>Medio sup</t>
  </si>
  <si>
    <t>Descarga sup</t>
  </si>
  <si>
    <t>mm</t>
  </si>
  <si>
    <t>-</t>
  </si>
  <si>
    <t>C_ver</t>
  </si>
  <si>
    <t>M_ver</t>
  </si>
  <si>
    <t>D_ver</t>
  </si>
  <si>
    <t>C_inv</t>
  </si>
  <si>
    <t>M_inv</t>
  </si>
  <si>
    <t>D_inv</t>
  </si>
  <si>
    <t>% Acum</t>
  </si>
  <si>
    <t>Peso tamiz</t>
  </si>
  <si>
    <t>medio</t>
  </si>
  <si>
    <t>% pasa</t>
  </si>
  <si>
    <t>Peso Tamiz</t>
  </si>
  <si>
    <t>Método de Mery</t>
  </si>
  <si>
    <t>para atrapamiento del material por el desarenador</t>
  </si>
  <si>
    <t>DIAMETRO (mm)</t>
  </si>
  <si>
    <t>% QUE PASA</t>
  </si>
  <si>
    <t>Pi (%)</t>
  </si>
  <si>
    <t>Dg (mm)</t>
  </si>
  <si>
    <t>Di (mm)</t>
  </si>
  <si>
    <t>Di*Pi</t>
  </si>
  <si>
    <t>ω (mm/s)</t>
  </si>
  <si>
    <t>ω/ω0</t>
  </si>
  <si>
    <t>Pi *(ω/ω0)</t>
  </si>
  <si>
    <t>Dm (mm)</t>
  </si>
  <si>
    <t>∑</t>
  </si>
  <si>
    <t>arcillas</t>
  </si>
  <si>
    <t xml:space="preserve">limos </t>
  </si>
  <si>
    <t>arenas</t>
  </si>
  <si>
    <t>gravas</t>
  </si>
  <si>
    <t>D10</t>
  </si>
  <si>
    <t>D16</t>
  </si>
  <si>
    <t>D50</t>
  </si>
  <si>
    <t>D84</t>
  </si>
  <si>
    <t>D90</t>
  </si>
  <si>
    <t>Dm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</si>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</sst>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 style="medium">
        <color rgb="FFC5E0B3"/>
      </bottom>
      <diagonal/>
    </border>
  </borders>
  <cellStyleXfs count="4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3" xfId="1" applyBorder="1"/>
    <xf numFmtId="0" fontId="4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2" xfId="1" applyBorder="1" applyAlignment="1">
      <alignment horizontal="center" vertical="top" wrapText="1"/>
    </xf>
    <xf numFmtId="0" fontId="1" fillId="0" borderId="2" xfId="1" applyBorder="1" applyAlignment="1">
      <alignment horizontal="center" wrapText="1"/>
    </xf>
    <xf numFmtId="2" fontId="1" fillId="0" borderId="2" xfId="1" applyNumberFormat="1" applyBorder="1" applyAlignment="1">
      <alignment horizontal="center" wrapText="1"/>
    </xf>
    <xf numFmtId="164" fontId="1" fillId="0" borderId="2" xfId="1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  <xf numFmtId="2" fontId="0" fillId="0" borderId="0" xfId="0" applyNumberFormat="1"/>
    <xf numFmtId="2" fontId="3" fillId="0" borderId="0" xfId="0" applyNumberFormat="1" applyFont="1" applyAlignment="1">
      <alignment horizontal="center" vertical="center" wrapText="1"/>
    </xf>
    <xf numFmtId="0" fontId="6" fillId="4" borderId="2" xfId="1" applyFont="1" applyFill="1" applyBorder="1"/>
    <xf numFmtId="0" fontId="1" fillId="0" borderId="9" xfId="1" applyBorder="1" applyAlignment="1">
      <alignment horizontal="center" vertical="center" wrapText="1"/>
    </xf>
    <xf numFmtId="0" fontId="1" fillId="0" borderId="9" xfId="1" applyBorder="1" applyAlignment="1">
      <alignment horizontal="center" wrapText="1"/>
    </xf>
    <xf numFmtId="164" fontId="1" fillId="0" borderId="9" xfId="1" applyNumberFormat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Fill="1" applyBorder="1"/>
    <xf numFmtId="0" fontId="4" fillId="3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left" vertical="center"/>
    </xf>
    <xf numFmtId="0" fontId="7" fillId="2" borderId="10" xfId="0" applyFont="1" applyFill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165" fontId="1" fillId="0" borderId="7" xfId="1" applyNumberFormat="1" applyBorder="1" applyAlignment="1">
      <alignment horizontal="center" wrapText="1"/>
    </xf>
    <xf numFmtId="10" fontId="9" fillId="0" borderId="2" xfId="2" applyNumberFormat="1" applyFont="1" applyBorder="1" applyAlignment="1">
      <alignment horizontal="center"/>
    </xf>
    <xf numFmtId="10" fontId="9" fillId="5" borderId="2" xfId="0" applyNumberFormat="1" applyFont="1" applyFill="1" applyBorder="1" applyAlignment="1">
      <alignment horizontal="center"/>
    </xf>
    <xf numFmtId="166" fontId="8" fillId="0" borderId="11" xfId="0" applyNumberFormat="1" applyFont="1" applyBorder="1" applyAlignment="1">
      <alignment horizontal="center" vertical="center" wrapText="1"/>
    </xf>
    <xf numFmtId="10" fontId="9" fillId="6" borderId="2" xfId="0" applyNumberFormat="1" applyFont="1" applyFill="1" applyBorder="1" applyAlignment="1">
      <alignment horizontal="center"/>
    </xf>
    <xf numFmtId="164" fontId="8" fillId="0" borderId="11" xfId="0" applyNumberFormat="1" applyFont="1" applyBorder="1" applyAlignment="1">
      <alignment horizontal="center" vertical="center" wrapText="1"/>
    </xf>
    <xf numFmtId="10" fontId="9" fillId="7" borderId="2" xfId="0" applyNumberFormat="1" applyFont="1" applyFill="1" applyBorder="1" applyAlignment="1">
      <alignment horizontal="center"/>
    </xf>
    <xf numFmtId="2" fontId="5" fillId="0" borderId="0" xfId="3" applyNumberFormat="1" applyAlignment="1">
      <alignment horizontal="center" vertical="center"/>
    </xf>
    <xf numFmtId="165" fontId="1" fillId="0" borderId="2" xfId="1" applyNumberFormat="1" applyBorder="1" applyAlignment="1">
      <alignment horizontal="center" wrapText="1"/>
    </xf>
    <xf numFmtId="9" fontId="10" fillId="0" borderId="2" xfId="2" applyFont="1" applyBorder="1" applyAlignment="1">
      <alignment horizontal="center" wrapText="1"/>
    </xf>
    <xf numFmtId="2" fontId="1" fillId="8" borderId="2" xfId="1" applyNumberFormat="1" applyFill="1" applyBorder="1" applyAlignment="1">
      <alignment horizontal="center" wrapText="1"/>
    </xf>
    <xf numFmtId="164" fontId="1" fillId="8" borderId="2" xfId="1" applyNumberFormat="1" applyFill="1" applyBorder="1" applyAlignment="1">
      <alignment horizontal="center" wrapText="1"/>
    </xf>
    <xf numFmtId="0" fontId="0" fillId="7" borderId="0" xfId="0" applyFill="1"/>
    <xf numFmtId="10" fontId="0" fillId="7" borderId="0" xfId="0" applyNumberFormat="1" applyFill="1"/>
    <xf numFmtId="0" fontId="0" fillId="6" borderId="0" xfId="0" applyFill="1"/>
    <xf numFmtId="10" fontId="0" fillId="6" borderId="0" xfId="0" applyNumberFormat="1" applyFill="1"/>
    <xf numFmtId="0" fontId="0" fillId="5" borderId="0" xfId="0" applyFill="1"/>
    <xf numFmtId="10" fontId="0" fillId="5" borderId="0" xfId="0" applyNumberFormat="1" applyFill="1"/>
    <xf numFmtId="10" fontId="0" fillId="0" borderId="0" xfId="0" applyNumberFormat="1"/>
    <xf numFmtId="164" fontId="0" fillId="0" borderId="0" xfId="0" applyNumberFormat="1"/>
    <xf numFmtId="0" fontId="0" fillId="0" borderId="5" xfId="0" applyBorder="1" applyAlignment="1">
      <alignment horizontal="center"/>
    </xf>
    <xf numFmtId="0" fontId="4" fillId="0" borderId="4" xfId="1" applyFont="1" applyBorder="1" applyAlignment="1">
      <alignment horizontal="center" vertical="center" textRotation="90"/>
    </xf>
    <xf numFmtId="0" fontId="4" fillId="0" borderId="0" xfId="1" applyFont="1" applyAlignment="1">
      <alignment horizontal="center" vertical="center" textRotation="90"/>
    </xf>
    <xf numFmtId="0" fontId="4" fillId="0" borderId="5" xfId="1" applyFont="1" applyBorder="1" applyAlignment="1">
      <alignment horizontal="center" vertical="center" textRotation="90"/>
    </xf>
    <xf numFmtId="0" fontId="4" fillId="0" borderId="6" xfId="1" applyFont="1" applyBorder="1" applyAlignment="1">
      <alignment horizontal="center" vertical="center" textRotation="90"/>
    </xf>
    <xf numFmtId="0" fontId="4" fillId="0" borderId="8" xfId="1" applyFont="1" applyBorder="1" applyAlignment="1">
      <alignment horizontal="center" vertical="center" textRotation="90"/>
    </xf>
    <xf numFmtId="0" fontId="4" fillId="0" borderId="7" xfId="1" applyFont="1" applyBorder="1" applyAlignment="1">
      <alignment horizontal="center" vertical="center" textRotation="90"/>
    </xf>
    <xf numFmtId="0" fontId="1" fillId="0" borderId="6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</cellXfs>
  <cellStyles count="4">
    <cellStyle name="Normal" xfId="0" builtinId="0"/>
    <cellStyle name="Normal 2" xfId="3" xr:uid="{D80499FA-65AD-4D7B-8314-E4E68BECD438}"/>
    <cellStyle name="Normal 6" xfId="1" xr:uid="{B2934484-F128-4D45-AB36-CFFD6C9B311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48649708011451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3A-4027-AA59-4683ECCA9F17}"/>
            </c:ext>
          </c:extLst>
        </c:ser>
        <c:ser>
          <c:idx val="1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3A-4027-AA59-4683ECCA9F17}"/>
            </c:ext>
          </c:extLst>
        </c:ser>
        <c:ser>
          <c:idx val="2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3A-4027-AA59-4683ECCA9F17}"/>
            </c:ext>
          </c:extLst>
        </c:ser>
        <c:ser>
          <c:idx val="3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3A-4027-AA59-4683ECCA9F17}"/>
            </c:ext>
          </c:extLst>
        </c:ser>
        <c:ser>
          <c:idx val="4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3A-4027-AA59-4683ECCA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421415777286512E-2"/>
          <c:y val="0.88951536411677046"/>
          <c:w val="0.89999999999999991"/>
          <c:h val="5.0827047670666405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48649708011451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9D-4841-B3E9-2651255CB0E5}"/>
            </c:ext>
          </c:extLst>
        </c:ser>
        <c:ser>
          <c:idx val="1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9D-4841-B3E9-2651255CB0E5}"/>
            </c:ext>
          </c:extLst>
        </c:ser>
        <c:ser>
          <c:idx val="2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9D-4841-B3E9-2651255CB0E5}"/>
            </c:ext>
          </c:extLst>
        </c:ser>
        <c:ser>
          <c:idx val="3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89D-4841-B3E9-2651255CB0E5}"/>
            </c:ext>
          </c:extLst>
        </c:ser>
        <c:ser>
          <c:idx val="4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9D-4841-B3E9-2651255CB0E5}"/>
            </c:ext>
          </c:extLst>
        </c:ser>
        <c:ser>
          <c:idx val="5"/>
          <c:order val="5"/>
          <c:tx>
            <c:strRef>
              <c:f>Granumometrias!$AF$31</c:f>
              <c:strCache>
                <c:ptCount val="1"/>
                <c:pt idx="0">
                  <c:v>medio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Granumometrias!$M$33:$M$48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Granumometrias!$AF$33:$AF$48</c:f>
              <c:numCache>
                <c:formatCode>0.00</c:formatCode>
                <c:ptCount val="16"/>
                <c:pt idx="0" formatCode="General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99.080785305725996</c:v>
                </c:pt>
                <c:pt idx="4">
                  <c:v>94.304124864615432</c:v>
                </c:pt>
                <c:pt idx="5">
                  <c:v>84.940305158582404</c:v>
                </c:pt>
                <c:pt idx="6">
                  <c:v>78.602875756154091</c:v>
                </c:pt>
                <c:pt idx="7">
                  <c:v>69.509684624886532</c:v>
                </c:pt>
                <c:pt idx="8">
                  <c:v>54.353697067500306</c:v>
                </c:pt>
                <c:pt idx="9">
                  <c:v>28.455423265065804</c:v>
                </c:pt>
                <c:pt idx="10">
                  <c:v>13.279162513872011</c:v>
                </c:pt>
                <c:pt idx="11">
                  <c:v>4.60648770803751</c:v>
                </c:pt>
                <c:pt idx="12">
                  <c:v>3.4898393688156837</c:v>
                </c:pt>
                <c:pt idx="13">
                  <c:v>1.2722482578816585</c:v>
                </c:pt>
                <c:pt idx="14">
                  <c:v>0.56003979926375624</c:v>
                </c:pt>
                <c:pt idx="15">
                  <c:v>1.1102230246251565E-14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89D-4841-B3E9-2651255CB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421415777286512E-2"/>
          <c:y val="0.88951536411677046"/>
          <c:w val="0.89999999999999991"/>
          <c:h val="5.0827047670666405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8304403535093"/>
          <c:y val="2.7777777777777776E-2"/>
          <c:w val="0.84576420297949539"/>
          <c:h val="0.8086460476224257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[1]Resumen!$F$15</c:f>
              <c:strCache>
                <c:ptCount val="1"/>
                <c:pt idx="0">
                  <c:v>C_ver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[1]Resumen!$F$16:$F$19</c:f>
              <c:numCache>
                <c:formatCode>General</c:formatCode>
                <c:ptCount val="4"/>
                <c:pt idx="0">
                  <c:v>72</c:v>
                </c:pt>
                <c:pt idx="1">
                  <c:v>32</c:v>
                </c:pt>
                <c:pt idx="2">
                  <c:v>18</c:v>
                </c:pt>
                <c:pt idx="3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70-4A22-A266-FC874542F497}"/>
            </c:ext>
          </c:extLst>
        </c:ser>
        <c:ser>
          <c:idx val="0"/>
          <c:order val="1"/>
          <c:tx>
            <c:strRef>
              <c:f>[1]Resumen!$G$15</c:f>
              <c:strCache>
                <c:ptCount val="1"/>
                <c:pt idx="0">
                  <c:v>M_ver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[1]Resumen!$G$16:$G$19</c:f>
              <c:numCache>
                <c:formatCode>General</c:formatCode>
                <c:ptCount val="4"/>
                <c:pt idx="0">
                  <c:v>86</c:v>
                </c:pt>
                <c:pt idx="1">
                  <c:v>38</c:v>
                </c:pt>
                <c:pt idx="2">
                  <c:v>16</c:v>
                </c:pt>
                <c:pt idx="3">
                  <c:v>14.000000000000002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70-4A22-A266-FC874542F497}"/>
            </c:ext>
          </c:extLst>
        </c:ser>
        <c:ser>
          <c:idx val="1"/>
          <c:order val="2"/>
          <c:tx>
            <c:strRef>
              <c:f>[1]Resumen!$H$15</c:f>
              <c:strCache>
                <c:ptCount val="1"/>
                <c:pt idx="0">
                  <c:v>D_ver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[1]Resumen!$H$16:$H$19</c:f>
              <c:numCache>
                <c:formatCode>General</c:formatCode>
                <c:ptCount val="4"/>
                <c:pt idx="0">
                  <c:v>80</c:v>
                </c:pt>
                <c:pt idx="1">
                  <c:v>32</c:v>
                </c:pt>
                <c:pt idx="2">
                  <c:v>10</c:v>
                </c:pt>
                <c:pt idx="3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70-4A22-A266-FC874542F497}"/>
            </c:ext>
          </c:extLst>
        </c:ser>
        <c:ser>
          <c:idx val="3"/>
          <c:order val="3"/>
          <c:tx>
            <c:strRef>
              <c:f>[1]Resumen!$F$21</c:f>
              <c:strCache>
                <c:ptCount val="1"/>
                <c:pt idx="0">
                  <c:v>C_inv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[1]Resumen!$F$22:$F$26</c:f>
              <c:numCache>
                <c:formatCode>General</c:formatCode>
                <c:ptCount val="5"/>
                <c:pt idx="0">
                  <c:v>98</c:v>
                </c:pt>
                <c:pt idx="1">
                  <c:v>94</c:v>
                </c:pt>
                <c:pt idx="2">
                  <c:v>42</c:v>
                </c:pt>
                <c:pt idx="3">
                  <c:v>30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A70-4A22-A266-FC874542F497}"/>
            </c:ext>
          </c:extLst>
        </c:ser>
        <c:ser>
          <c:idx val="4"/>
          <c:order val="4"/>
          <c:tx>
            <c:strRef>
              <c:f>[1]Resumen!$G$21</c:f>
              <c:strCache>
                <c:ptCount val="1"/>
                <c:pt idx="0">
                  <c:v>M_inv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[1]Resumen!$G$22:$G$26</c:f>
              <c:numCache>
                <c:formatCode>General</c:formatCode>
                <c:ptCount val="5"/>
                <c:pt idx="0">
                  <c:v>90</c:v>
                </c:pt>
                <c:pt idx="1">
                  <c:v>60</c:v>
                </c:pt>
                <c:pt idx="2">
                  <c:v>44</c:v>
                </c:pt>
                <c:pt idx="3">
                  <c:v>38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A70-4A22-A266-FC874542F497}"/>
            </c:ext>
          </c:extLst>
        </c:ser>
        <c:ser>
          <c:idx val="5"/>
          <c:order val="5"/>
          <c:tx>
            <c:strRef>
              <c:f>[1]Resumen!$H$21</c:f>
              <c:strCache>
                <c:ptCount val="1"/>
                <c:pt idx="0">
                  <c:v>D_inv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[1]Resumen!$H$22:$H$26</c:f>
              <c:numCache>
                <c:formatCode>General</c:formatCode>
                <c:ptCount val="5"/>
                <c:pt idx="0">
                  <c:v>64</c:v>
                </c:pt>
                <c:pt idx="1">
                  <c:v>46</c:v>
                </c:pt>
                <c:pt idx="2">
                  <c:v>44</c:v>
                </c:pt>
                <c:pt idx="3">
                  <c:v>38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A70-4A22-A266-FC874542F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341105136544996"/>
          <c:y val="0.91661907970963086"/>
          <c:w val="0.67823475299245461"/>
          <c:h val="5.9870598945402094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0729469627107433"/>
        </c:manualLayout>
      </c:layout>
      <c:scatterChart>
        <c:scatterStyle val="smoothMarker"/>
        <c:varyColors val="0"/>
        <c:ser>
          <c:idx val="6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9E5B-4F02-900D-EED65F236412}"/>
            </c:ext>
          </c:extLst>
        </c:ser>
        <c:ser>
          <c:idx val="7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9E5B-4F02-900D-EED65F236412}"/>
            </c:ext>
          </c:extLst>
        </c:ser>
        <c:ser>
          <c:idx val="8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9E5B-4F02-900D-EED65F236412}"/>
            </c:ext>
          </c:extLst>
        </c:ser>
        <c:ser>
          <c:idx val="9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9E5B-4F02-900D-EED65F236412}"/>
            </c:ext>
          </c:extLst>
        </c:ser>
        <c:ser>
          <c:idx val="10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9E5B-4F02-900D-EED65F236412}"/>
            </c:ext>
          </c:extLst>
        </c:ser>
        <c:ser>
          <c:idx val="2"/>
          <c:order val="5"/>
          <c:tx>
            <c:strRef>
              <c:f>[1]Resumen!$F$15</c:f>
              <c:strCache>
                <c:ptCount val="1"/>
                <c:pt idx="0">
                  <c:v>C_ver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[1]Resumen!$F$16:$F$19</c:f>
              <c:numCache>
                <c:formatCode>General</c:formatCode>
                <c:ptCount val="4"/>
                <c:pt idx="0">
                  <c:v>72</c:v>
                </c:pt>
                <c:pt idx="1">
                  <c:v>32</c:v>
                </c:pt>
                <c:pt idx="2">
                  <c:v>18</c:v>
                </c:pt>
                <c:pt idx="3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E5B-4F02-900D-EED65F236412}"/>
            </c:ext>
          </c:extLst>
        </c:ser>
        <c:ser>
          <c:idx val="0"/>
          <c:order val="6"/>
          <c:tx>
            <c:strRef>
              <c:f>[1]Resumen!$G$15</c:f>
              <c:strCache>
                <c:ptCount val="1"/>
                <c:pt idx="0">
                  <c:v>M_ver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[1]Resumen!$G$16:$G$19</c:f>
              <c:numCache>
                <c:formatCode>General</c:formatCode>
                <c:ptCount val="4"/>
                <c:pt idx="0">
                  <c:v>86</c:v>
                </c:pt>
                <c:pt idx="1">
                  <c:v>38</c:v>
                </c:pt>
                <c:pt idx="2">
                  <c:v>16</c:v>
                </c:pt>
                <c:pt idx="3">
                  <c:v>14.000000000000002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E5B-4F02-900D-EED65F236412}"/>
            </c:ext>
          </c:extLst>
        </c:ser>
        <c:ser>
          <c:idx val="1"/>
          <c:order val="7"/>
          <c:tx>
            <c:strRef>
              <c:f>[1]Resumen!$H$15</c:f>
              <c:strCache>
                <c:ptCount val="1"/>
                <c:pt idx="0">
                  <c:v>D_ver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[1]Resumen!$H$16:$H$19</c:f>
              <c:numCache>
                <c:formatCode>General</c:formatCode>
                <c:ptCount val="4"/>
                <c:pt idx="0">
                  <c:v>80</c:v>
                </c:pt>
                <c:pt idx="1">
                  <c:v>32</c:v>
                </c:pt>
                <c:pt idx="2">
                  <c:v>10</c:v>
                </c:pt>
                <c:pt idx="3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E5B-4F02-900D-EED65F236412}"/>
            </c:ext>
          </c:extLst>
        </c:ser>
        <c:ser>
          <c:idx val="3"/>
          <c:order val="8"/>
          <c:tx>
            <c:strRef>
              <c:f>[1]Resumen!$F$21</c:f>
              <c:strCache>
                <c:ptCount val="1"/>
                <c:pt idx="0">
                  <c:v>C_inv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[1]Resumen!$F$22:$F$26</c:f>
              <c:numCache>
                <c:formatCode>General</c:formatCode>
                <c:ptCount val="5"/>
                <c:pt idx="0">
                  <c:v>98</c:v>
                </c:pt>
                <c:pt idx="1">
                  <c:v>94</c:v>
                </c:pt>
                <c:pt idx="2">
                  <c:v>42</c:v>
                </c:pt>
                <c:pt idx="3">
                  <c:v>30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E5B-4F02-900D-EED65F236412}"/>
            </c:ext>
          </c:extLst>
        </c:ser>
        <c:ser>
          <c:idx val="4"/>
          <c:order val="9"/>
          <c:tx>
            <c:strRef>
              <c:f>[1]Resumen!$G$21</c:f>
              <c:strCache>
                <c:ptCount val="1"/>
                <c:pt idx="0">
                  <c:v>M_inv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[1]Resumen!$G$22:$G$26</c:f>
              <c:numCache>
                <c:formatCode>General</c:formatCode>
                <c:ptCount val="5"/>
                <c:pt idx="0">
                  <c:v>90</c:v>
                </c:pt>
                <c:pt idx="1">
                  <c:v>60</c:v>
                </c:pt>
                <c:pt idx="2">
                  <c:v>44</c:v>
                </c:pt>
                <c:pt idx="3">
                  <c:v>38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E5B-4F02-900D-EED65F236412}"/>
            </c:ext>
          </c:extLst>
        </c:ser>
        <c:ser>
          <c:idx val="5"/>
          <c:order val="10"/>
          <c:tx>
            <c:strRef>
              <c:f>[1]Resumen!$H$21</c:f>
              <c:strCache>
                <c:ptCount val="1"/>
                <c:pt idx="0">
                  <c:v>D_inv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[1]Resumen!$H$22:$H$26</c:f>
              <c:numCache>
                <c:formatCode>General</c:formatCode>
                <c:ptCount val="5"/>
                <c:pt idx="0">
                  <c:v>64</c:v>
                </c:pt>
                <c:pt idx="1">
                  <c:v>46</c:v>
                </c:pt>
                <c:pt idx="2">
                  <c:v>44</c:v>
                </c:pt>
                <c:pt idx="3">
                  <c:v>38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9E5B-4F02-900D-EED65F236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</c:plotArea>
    <c:legend>
      <c:legendPos val="b"/>
      <c:layout>
        <c:manualLayout>
          <c:xMode val="edge"/>
          <c:yMode val="edge"/>
          <c:x val="2.1718739869318715E-2"/>
          <c:y val="0.87502883923583064"/>
          <c:w val="0.95118386391088128"/>
          <c:h val="9.3050849501392724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/>
  </c:chart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27</xdr:row>
      <xdr:rowOff>0</xdr:rowOff>
    </xdr:from>
    <xdr:to>
      <xdr:col>11</xdr:col>
      <xdr:colOff>144780</xdr:colOff>
      <xdr:row>48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EB1976-647C-42B8-9A3E-2080B0F44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11</xdr:col>
      <xdr:colOff>121920</xdr:colOff>
      <xdr:row>71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6311E0-34D8-4156-A7FD-F2F14FB4B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167640</xdr:rowOff>
    </xdr:from>
    <xdr:to>
      <xdr:col>17</xdr:col>
      <xdr:colOff>586740</xdr:colOff>
      <xdr:row>19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D17538-DA03-42D0-AAD9-ABF81660C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403860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74CC7E-F65D-407A-AA2D-80558761DC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ropbox\Trabajo\Cocorna3\Requerimiento\Informe\Anexo5\Granulometrias_Pantagor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</sheetNames>
    <sheetDataSet>
      <sheetData sheetId="0">
        <row r="15">
          <cell r="F15" t="str">
            <v>C_ver</v>
          </cell>
          <cell r="G15" t="str">
            <v>M_ver</v>
          </cell>
          <cell r="H15" t="str">
            <v>D_ver</v>
          </cell>
        </row>
        <row r="16">
          <cell r="B16">
            <v>2</v>
          </cell>
          <cell r="F16">
            <v>72</v>
          </cell>
          <cell r="G16">
            <v>86</v>
          </cell>
          <cell r="H16">
            <v>80</v>
          </cell>
        </row>
        <row r="17">
          <cell r="B17">
            <v>0.71</v>
          </cell>
          <cell r="F17">
            <v>32</v>
          </cell>
          <cell r="G17">
            <v>38</v>
          </cell>
          <cell r="H17">
            <v>32</v>
          </cell>
        </row>
        <row r="18">
          <cell r="B18">
            <v>0.25</v>
          </cell>
          <cell r="F18">
            <v>18</v>
          </cell>
          <cell r="G18">
            <v>16</v>
          </cell>
          <cell r="H18">
            <v>10</v>
          </cell>
        </row>
        <row r="19">
          <cell r="B19">
            <v>4.4999999999999998E-2</v>
          </cell>
          <cell r="F19">
            <v>16</v>
          </cell>
          <cell r="G19">
            <v>14.000000000000002</v>
          </cell>
          <cell r="H19">
            <v>8</v>
          </cell>
        </row>
        <row r="21">
          <cell r="F21" t="str">
            <v>C_inv</v>
          </cell>
          <cell r="G21" t="str">
            <v>M_inv</v>
          </cell>
          <cell r="H21" t="str">
            <v>D_inv</v>
          </cell>
        </row>
        <row r="22">
          <cell r="B22">
            <v>2</v>
          </cell>
          <cell r="F22">
            <v>98</v>
          </cell>
          <cell r="G22">
            <v>90</v>
          </cell>
          <cell r="H22">
            <v>64</v>
          </cell>
        </row>
        <row r="23">
          <cell r="B23">
            <v>0.71</v>
          </cell>
          <cell r="F23">
            <v>94</v>
          </cell>
          <cell r="G23">
            <v>60</v>
          </cell>
          <cell r="H23">
            <v>46</v>
          </cell>
        </row>
        <row r="24">
          <cell r="B24">
            <v>0.25</v>
          </cell>
          <cell r="F24">
            <v>42</v>
          </cell>
          <cell r="G24">
            <v>44</v>
          </cell>
          <cell r="H24">
            <v>44</v>
          </cell>
        </row>
        <row r="25">
          <cell r="B25">
            <v>0.13</v>
          </cell>
          <cell r="F25">
            <v>30</v>
          </cell>
          <cell r="G25">
            <v>38</v>
          </cell>
          <cell r="H25">
            <v>38</v>
          </cell>
        </row>
        <row r="26">
          <cell r="B26">
            <v>4.4999999999999998E-2</v>
          </cell>
          <cell r="F26">
            <v>28.000000000000004</v>
          </cell>
          <cell r="G26">
            <v>28.000000000000004</v>
          </cell>
          <cell r="H26">
            <v>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5596-DEE6-430E-915E-107B8ABEC77B}">
  <dimension ref="A1:AK50"/>
  <sheetViews>
    <sheetView workbookViewId="0">
      <selection activeCell="M33" sqref="M33:N48"/>
    </sheetView>
  </sheetViews>
  <sheetFormatPr baseColWidth="10" defaultColWidth="9.42578125" defaultRowHeight="15" x14ac:dyDescent="0.25"/>
  <cols>
    <col min="14" max="14" width="18.7109375" bestFit="1" customWidth="1"/>
    <col min="15" max="15" width="16.28515625" bestFit="1" customWidth="1"/>
    <col min="16" max="16" width="12.28515625" bestFit="1" customWidth="1"/>
    <col min="18" max="18" width="11.7109375" bestFit="1" customWidth="1"/>
    <col min="19" max="19" width="18.7109375" bestFit="1" customWidth="1"/>
    <col min="20" max="20" width="16.28515625" bestFit="1" customWidth="1"/>
    <col min="21" max="21" width="12.28515625" bestFit="1" customWidth="1"/>
    <col min="23" max="23" width="11.7109375" bestFit="1" customWidth="1"/>
    <col min="24" max="24" width="18.7109375" bestFit="1" customWidth="1"/>
    <col min="25" max="25" width="16.28515625" bestFit="1" customWidth="1"/>
    <col min="26" max="26" width="12.28515625" bestFit="1" customWidth="1"/>
    <col min="28" max="28" width="11.7109375" bestFit="1" customWidth="1"/>
    <col min="30" max="30" width="8.85546875" customWidth="1"/>
  </cols>
  <sheetData>
    <row r="1" spans="1:24" x14ac:dyDescent="0.25">
      <c r="A1" t="s">
        <v>22</v>
      </c>
      <c r="F1" t="s">
        <v>23</v>
      </c>
      <c r="K1" t="s">
        <v>25</v>
      </c>
      <c r="P1" t="s">
        <v>26</v>
      </c>
      <c r="U1" t="s">
        <v>27</v>
      </c>
    </row>
    <row r="2" spans="1:24" x14ac:dyDescent="0.25">
      <c r="A2" t="s">
        <v>24</v>
      </c>
      <c r="B2">
        <v>121.7</v>
      </c>
      <c r="F2" t="s">
        <v>24</v>
      </c>
      <c r="G2">
        <v>123.78</v>
      </c>
      <c r="K2" t="s">
        <v>24</v>
      </c>
      <c r="L2">
        <v>120.45</v>
      </c>
      <c r="P2" t="s">
        <v>24</v>
      </c>
      <c r="Q2">
        <v>120.78</v>
      </c>
      <c r="U2" t="s">
        <v>24</v>
      </c>
      <c r="V2">
        <v>120.32</v>
      </c>
    </row>
    <row r="4" spans="1:24" ht="51" x14ac:dyDescent="0.25">
      <c r="A4" s="3"/>
      <c r="B4" s="4" t="s">
        <v>1</v>
      </c>
      <c r="C4" s="4" t="s">
        <v>2</v>
      </c>
      <c r="D4" s="5" t="s">
        <v>3</v>
      </c>
      <c r="F4" s="3"/>
      <c r="G4" s="4" t="s">
        <v>1</v>
      </c>
      <c r="H4" s="4" t="s">
        <v>2</v>
      </c>
      <c r="I4" s="5" t="s">
        <v>3</v>
      </c>
      <c r="K4" s="3"/>
      <c r="L4" s="4" t="s">
        <v>1</v>
      </c>
      <c r="M4" s="4" t="s">
        <v>2</v>
      </c>
      <c r="N4" s="5" t="s">
        <v>3</v>
      </c>
      <c r="P4" s="3"/>
      <c r="Q4" s="4" t="s">
        <v>1</v>
      </c>
      <c r="R4" s="4" t="s">
        <v>2</v>
      </c>
      <c r="S4" s="5" t="s">
        <v>3</v>
      </c>
      <c r="U4" s="3"/>
      <c r="V4" s="4" t="s">
        <v>1</v>
      </c>
      <c r="W4" s="4" t="s">
        <v>2</v>
      </c>
      <c r="X4" s="5" t="s">
        <v>3</v>
      </c>
    </row>
    <row r="5" spans="1:24" x14ac:dyDescent="0.25">
      <c r="A5" s="48" t="s">
        <v>4</v>
      </c>
      <c r="B5" s="6"/>
      <c r="C5" s="6" t="s">
        <v>5</v>
      </c>
      <c r="D5" s="6" t="s">
        <v>6</v>
      </c>
      <c r="F5" s="48" t="s">
        <v>4</v>
      </c>
      <c r="G5" s="6"/>
      <c r="H5" s="6" t="s">
        <v>5</v>
      </c>
      <c r="I5" s="6" t="s">
        <v>6</v>
      </c>
      <c r="K5" s="48" t="s">
        <v>4</v>
      </c>
      <c r="L5" s="6"/>
      <c r="M5" s="6" t="s">
        <v>5</v>
      </c>
      <c r="N5" s="6" t="s">
        <v>6</v>
      </c>
      <c r="P5" s="48" t="s">
        <v>4</v>
      </c>
      <c r="Q5" s="6"/>
      <c r="R5" s="6" t="s">
        <v>5</v>
      </c>
      <c r="S5" s="6" t="s">
        <v>6</v>
      </c>
      <c r="U5" s="48" t="s">
        <v>4</v>
      </c>
      <c r="V5" s="6"/>
      <c r="W5" s="6" t="s">
        <v>5</v>
      </c>
      <c r="X5" s="6" t="s">
        <v>6</v>
      </c>
    </row>
    <row r="6" spans="1:24" x14ac:dyDescent="0.25">
      <c r="A6" s="49"/>
      <c r="B6" s="7" t="s">
        <v>7</v>
      </c>
      <c r="C6" s="8">
        <v>76.199999999999989</v>
      </c>
      <c r="D6" s="9">
        <v>100</v>
      </c>
      <c r="F6" s="49"/>
      <c r="G6" s="7" t="s">
        <v>7</v>
      </c>
      <c r="H6" s="8">
        <v>76.199999999999989</v>
      </c>
      <c r="I6" s="9">
        <v>100</v>
      </c>
      <c r="K6" s="49"/>
      <c r="L6" s="7" t="s">
        <v>7</v>
      </c>
      <c r="M6" s="8">
        <v>76.199999999999989</v>
      </c>
      <c r="N6" s="9">
        <v>100</v>
      </c>
      <c r="P6" s="49"/>
      <c r="Q6" s="7" t="s">
        <v>7</v>
      </c>
      <c r="R6" s="8">
        <v>76.199999999999989</v>
      </c>
      <c r="S6" s="9">
        <v>100</v>
      </c>
      <c r="U6" s="49"/>
      <c r="V6" s="7" t="s">
        <v>7</v>
      </c>
      <c r="W6" s="8">
        <v>76.199999999999989</v>
      </c>
      <c r="X6" s="9">
        <v>100</v>
      </c>
    </row>
    <row r="7" spans="1:24" x14ac:dyDescent="0.25">
      <c r="A7" s="49"/>
      <c r="B7" s="7" t="s">
        <v>8</v>
      </c>
      <c r="C7" s="8">
        <v>50.8</v>
      </c>
      <c r="D7" s="9">
        <v>100</v>
      </c>
      <c r="F7" s="49"/>
      <c r="G7" s="7" t="s">
        <v>8</v>
      </c>
      <c r="H7" s="8">
        <v>50.8</v>
      </c>
      <c r="I7" s="9">
        <v>100</v>
      </c>
      <c r="K7" s="49"/>
      <c r="L7" s="7" t="s">
        <v>8</v>
      </c>
      <c r="M7" s="8">
        <v>50.8</v>
      </c>
      <c r="N7" s="9">
        <v>100</v>
      </c>
      <c r="P7" s="49"/>
      <c r="Q7" s="7" t="s">
        <v>8</v>
      </c>
      <c r="R7" s="8">
        <v>50.8</v>
      </c>
      <c r="S7" s="9">
        <v>100</v>
      </c>
      <c r="U7" s="49"/>
      <c r="V7" s="7" t="s">
        <v>8</v>
      </c>
      <c r="W7" s="8">
        <v>50.8</v>
      </c>
      <c r="X7" s="9">
        <v>100</v>
      </c>
    </row>
    <row r="8" spans="1:24" x14ac:dyDescent="0.25">
      <c r="A8" s="49"/>
      <c r="B8" s="7" t="s">
        <v>9</v>
      </c>
      <c r="C8" s="8">
        <v>38.099999999999994</v>
      </c>
      <c r="D8" s="9">
        <v>100</v>
      </c>
      <c r="F8" s="49"/>
      <c r="G8" s="7" t="s">
        <v>9</v>
      </c>
      <c r="H8" s="8">
        <v>38.099999999999994</v>
      </c>
      <c r="I8" s="9">
        <v>100</v>
      </c>
      <c r="K8" s="49"/>
      <c r="L8" s="7" t="s">
        <v>9</v>
      </c>
      <c r="M8" s="8">
        <v>38.099999999999994</v>
      </c>
      <c r="N8" s="9">
        <v>100</v>
      </c>
      <c r="P8" s="49"/>
      <c r="Q8" s="7" t="s">
        <v>9</v>
      </c>
      <c r="R8" s="8">
        <v>38.099999999999994</v>
      </c>
      <c r="S8" s="9">
        <v>100</v>
      </c>
      <c r="U8" s="49"/>
      <c r="V8" s="7" t="s">
        <v>9</v>
      </c>
      <c r="W8" s="8">
        <v>38.099999999999994</v>
      </c>
      <c r="X8" s="9">
        <v>100</v>
      </c>
    </row>
    <row r="9" spans="1:24" x14ac:dyDescent="0.25">
      <c r="A9" s="49"/>
      <c r="B9" s="7" t="s">
        <v>10</v>
      </c>
      <c r="C9" s="8">
        <v>25.4</v>
      </c>
      <c r="D9" s="9">
        <v>95.421995902373041</v>
      </c>
      <c r="F9" s="49"/>
      <c r="G9" s="7" t="s">
        <v>10</v>
      </c>
      <c r="H9" s="8">
        <v>25.4</v>
      </c>
      <c r="I9" s="9">
        <v>100</v>
      </c>
      <c r="K9" s="49"/>
      <c r="L9" s="7" t="s">
        <v>10</v>
      </c>
      <c r="M9" s="8">
        <v>25.4</v>
      </c>
      <c r="N9" s="9">
        <v>100</v>
      </c>
      <c r="P9" s="49"/>
      <c r="Q9" s="7" t="s">
        <v>10</v>
      </c>
      <c r="R9" s="8">
        <v>25.4</v>
      </c>
      <c r="S9" s="9">
        <v>100</v>
      </c>
      <c r="U9" s="49"/>
      <c r="V9" s="7" t="s">
        <v>10</v>
      </c>
      <c r="W9" s="8">
        <v>25.4</v>
      </c>
      <c r="X9" s="9">
        <v>100</v>
      </c>
    </row>
    <row r="10" spans="1:24" x14ac:dyDescent="0.25">
      <c r="A10" s="49"/>
      <c r="B10" s="7" t="s">
        <v>11</v>
      </c>
      <c r="C10" s="8">
        <v>19.100000000000001</v>
      </c>
      <c r="D10" s="9">
        <v>81.377180593956993</v>
      </c>
      <c r="F10" s="49"/>
      <c r="G10" s="7" t="s">
        <v>11</v>
      </c>
      <c r="H10" s="8">
        <v>19.100000000000001</v>
      </c>
      <c r="I10" s="9">
        <v>100</v>
      </c>
      <c r="K10" s="49"/>
      <c r="L10" s="7" t="s">
        <v>11</v>
      </c>
      <c r="M10" s="8">
        <v>19.100000000000001</v>
      </c>
      <c r="N10" s="9">
        <v>91.50723555997844</v>
      </c>
      <c r="P10" s="49"/>
      <c r="Q10" s="7" t="s">
        <v>11</v>
      </c>
      <c r="R10" s="8">
        <v>19.100000000000001</v>
      </c>
      <c r="S10" s="9">
        <v>100</v>
      </c>
      <c r="U10" s="49"/>
      <c r="V10" s="7" t="s">
        <v>11</v>
      </c>
      <c r="W10" s="8">
        <v>19.100000000000001</v>
      </c>
      <c r="X10" s="9">
        <v>98.645585560374982</v>
      </c>
    </row>
    <row r="11" spans="1:24" x14ac:dyDescent="0.25">
      <c r="A11" s="49"/>
      <c r="B11" s="7" t="s">
        <v>12</v>
      </c>
      <c r="C11" s="8">
        <v>9.52</v>
      </c>
      <c r="D11" s="9">
        <v>56.072842281144951</v>
      </c>
      <c r="F11" s="49"/>
      <c r="G11" s="7" t="s">
        <v>12</v>
      </c>
      <c r="H11" s="8">
        <v>9.52</v>
      </c>
      <c r="I11" s="9">
        <v>99.448346814247202</v>
      </c>
      <c r="K11" s="49"/>
      <c r="L11" s="7" t="s">
        <v>12</v>
      </c>
      <c r="M11" s="8">
        <v>9.52</v>
      </c>
      <c r="N11" s="9">
        <v>75.195919890533645</v>
      </c>
      <c r="P11" s="49"/>
      <c r="Q11" s="7" t="s">
        <v>12</v>
      </c>
      <c r="R11" s="8">
        <v>9.52</v>
      </c>
      <c r="S11" s="9">
        <v>100</v>
      </c>
      <c r="U11" s="49"/>
      <c r="V11" s="7" t="s">
        <v>12</v>
      </c>
      <c r="W11" s="8">
        <v>9.52</v>
      </c>
      <c r="X11" s="9">
        <v>93.966699314397644</v>
      </c>
    </row>
    <row r="12" spans="1:24" x14ac:dyDescent="0.25">
      <c r="A12" s="49"/>
      <c r="B12" s="6" t="s">
        <v>13</v>
      </c>
      <c r="C12" s="6">
        <v>4.76</v>
      </c>
      <c r="D12" s="9">
        <v>45.471227100033815</v>
      </c>
      <c r="F12" s="49"/>
      <c r="G12" s="6" t="s">
        <v>13</v>
      </c>
      <c r="H12" s="6">
        <v>4.76</v>
      </c>
      <c r="I12" s="9">
        <v>98.433730665531428</v>
      </c>
      <c r="K12" s="49"/>
      <c r="L12" s="6" t="s">
        <v>13</v>
      </c>
      <c r="M12" s="6">
        <v>4.76</v>
      </c>
      <c r="N12" s="9">
        <v>61.723265746154169</v>
      </c>
      <c r="P12" s="49"/>
      <c r="Q12" s="6" t="s">
        <v>13</v>
      </c>
      <c r="R12" s="6">
        <v>4.76</v>
      </c>
      <c r="S12" s="9">
        <v>97.700168933045646</v>
      </c>
      <c r="U12" s="49"/>
      <c r="V12" s="6" t="s">
        <v>13</v>
      </c>
      <c r="W12" s="6">
        <v>4.76</v>
      </c>
      <c r="X12" s="9">
        <v>89.604962455109373</v>
      </c>
    </row>
    <row r="13" spans="1:24" x14ac:dyDescent="0.25">
      <c r="A13" s="49"/>
      <c r="B13" s="6" t="s">
        <v>14</v>
      </c>
      <c r="C13" s="6">
        <v>2</v>
      </c>
      <c r="D13" s="9">
        <v>35.304238855847075</v>
      </c>
      <c r="F13" s="49"/>
      <c r="G13" s="6" t="s">
        <v>14</v>
      </c>
      <c r="H13" s="6">
        <v>2</v>
      </c>
      <c r="I13" s="9">
        <v>91.326096211153683</v>
      </c>
      <c r="K13" s="49"/>
      <c r="L13" s="6" t="s">
        <v>14</v>
      </c>
      <c r="M13" s="6">
        <v>2</v>
      </c>
      <c r="N13" s="9">
        <v>44.816519467595469</v>
      </c>
      <c r="P13" s="49"/>
      <c r="Q13" s="6" t="s">
        <v>14</v>
      </c>
      <c r="R13" s="6">
        <v>2</v>
      </c>
      <c r="S13" s="9">
        <v>94.440262933413621</v>
      </c>
      <c r="U13" s="49"/>
      <c r="V13" s="6" t="s">
        <v>14</v>
      </c>
      <c r="W13" s="6">
        <v>2</v>
      </c>
      <c r="X13" s="9">
        <v>81.59134368732802</v>
      </c>
    </row>
    <row r="14" spans="1:24" x14ac:dyDescent="0.25">
      <c r="A14" s="49"/>
      <c r="B14" s="7" t="s">
        <v>15</v>
      </c>
      <c r="C14" s="8">
        <v>0.84</v>
      </c>
      <c r="D14" s="9">
        <v>22.424805525038025</v>
      </c>
      <c r="F14" s="49"/>
      <c r="G14" s="7" t="s">
        <v>15</v>
      </c>
      <c r="H14" s="8">
        <v>0.84</v>
      </c>
      <c r="I14" s="9">
        <v>70.164457769825674</v>
      </c>
      <c r="K14" s="49"/>
      <c r="L14" s="7" t="s">
        <v>15</v>
      </c>
      <c r="M14" s="8">
        <v>0.84</v>
      </c>
      <c r="N14" s="9">
        <v>25.931212344138459</v>
      </c>
      <c r="P14" s="49"/>
      <c r="Q14" s="7" t="s">
        <v>15</v>
      </c>
      <c r="R14" s="8">
        <v>0.84</v>
      </c>
      <c r="S14" s="9">
        <v>83.435453867752784</v>
      </c>
      <c r="U14" s="49"/>
      <c r="V14" s="7" t="s">
        <v>15</v>
      </c>
      <c r="W14" s="8">
        <v>0.84</v>
      </c>
      <c r="X14" s="9">
        <v>69.993521672489052</v>
      </c>
    </row>
    <row r="15" spans="1:24" x14ac:dyDescent="0.25">
      <c r="A15" s="49"/>
      <c r="B15" s="7" t="s">
        <v>16</v>
      </c>
      <c r="C15" s="8">
        <v>0.42</v>
      </c>
      <c r="D15" s="9">
        <v>9.4796747659740532</v>
      </c>
      <c r="F15" s="49"/>
      <c r="G15" s="7" t="s">
        <v>16</v>
      </c>
      <c r="H15" s="8">
        <v>0.42</v>
      </c>
      <c r="I15" s="9">
        <v>30.757184200551379</v>
      </c>
      <c r="K15" s="49"/>
      <c r="L15" s="7" t="s">
        <v>16</v>
      </c>
      <c r="M15" s="8">
        <v>0.42</v>
      </c>
      <c r="N15" s="9">
        <v>10.727993638086645</v>
      </c>
      <c r="P15" s="49"/>
      <c r="Q15" s="7" t="s">
        <v>16</v>
      </c>
      <c r="R15" s="8">
        <v>0.42</v>
      </c>
      <c r="S15" s="9">
        <v>51.113637031546119</v>
      </c>
      <c r="U15" s="49"/>
      <c r="V15" s="7" t="s">
        <v>16</v>
      </c>
      <c r="W15" s="8">
        <v>0.42</v>
      </c>
      <c r="X15" s="9">
        <v>40.831025430747466</v>
      </c>
    </row>
    <row r="16" spans="1:24" x14ac:dyDescent="0.25">
      <c r="A16" s="49"/>
      <c r="B16" s="6" t="s">
        <v>17</v>
      </c>
      <c r="C16" s="6">
        <v>0.25</v>
      </c>
      <c r="D16" s="9">
        <v>4.6043781108899111</v>
      </c>
      <c r="F16" s="49"/>
      <c r="G16" s="6" t="s">
        <v>17</v>
      </c>
      <c r="H16" s="6">
        <v>0.25</v>
      </c>
      <c r="I16" s="9">
        <v>14.842852492815155</v>
      </c>
      <c r="K16" s="49"/>
      <c r="L16" s="6" t="s">
        <v>17</v>
      </c>
      <c r="M16" s="6">
        <v>0.25</v>
      </c>
      <c r="N16" s="9">
        <v>5.7155293646486456</v>
      </c>
      <c r="P16" s="49"/>
      <c r="Q16" s="6" t="s">
        <v>17</v>
      </c>
      <c r="R16" s="6">
        <v>0.25</v>
      </c>
      <c r="S16" s="9">
        <v>23.640092720770454</v>
      </c>
      <c r="U16" s="49"/>
      <c r="V16" s="6" t="s">
        <v>17</v>
      </c>
      <c r="W16" s="6">
        <v>0.25</v>
      </c>
      <c r="X16" s="9">
        <v>18.280802501270685</v>
      </c>
    </row>
    <row r="17" spans="1:33" x14ac:dyDescent="0.25">
      <c r="A17" s="49"/>
      <c r="B17" s="7" t="s">
        <v>18</v>
      </c>
      <c r="C17" s="8">
        <v>0.105</v>
      </c>
      <c r="D17" s="9">
        <v>4.379911897685588</v>
      </c>
      <c r="F17" s="49"/>
      <c r="G17" s="7" t="s">
        <v>18</v>
      </c>
      <c r="H17" s="8">
        <v>0.105</v>
      </c>
      <c r="I17" s="9">
        <v>6.4696501764979786</v>
      </c>
      <c r="K17" s="49"/>
      <c r="L17" s="7" t="s">
        <v>18</v>
      </c>
      <c r="M17" s="8">
        <v>0.105</v>
      </c>
      <c r="N17" s="9">
        <v>3.0547776525830557</v>
      </c>
      <c r="P17" s="49"/>
      <c r="Q17" s="7" t="s">
        <v>18</v>
      </c>
      <c r="R17" s="8">
        <v>0.105</v>
      </c>
      <c r="S17" s="9">
        <v>5.455222915066571</v>
      </c>
      <c r="U17" s="49"/>
      <c r="V17" s="7" t="s">
        <v>18</v>
      </c>
      <c r="W17" s="8">
        <v>0.105</v>
      </c>
      <c r="X17" s="9">
        <v>4.3515614101949325</v>
      </c>
    </row>
    <row r="18" spans="1:33" x14ac:dyDescent="0.25">
      <c r="A18" s="50"/>
      <c r="B18" s="7" t="s">
        <v>19</v>
      </c>
      <c r="C18" s="10">
        <v>7.3999999999999996E-2</v>
      </c>
      <c r="D18" s="9">
        <v>3.9337168641208962</v>
      </c>
      <c r="F18" s="50"/>
      <c r="G18" s="7" t="s">
        <v>19</v>
      </c>
      <c r="H18" s="10">
        <v>7.3999999999999996E-2</v>
      </c>
      <c r="I18" s="9">
        <v>4.8279927841314105</v>
      </c>
      <c r="K18" s="50"/>
      <c r="L18" s="7" t="s">
        <v>19</v>
      </c>
      <c r="M18" s="10">
        <v>7.3999999999999996E-2</v>
      </c>
      <c r="N18" s="9">
        <v>2.6025252369345111</v>
      </c>
      <c r="P18" s="50"/>
      <c r="Q18" s="7" t="s">
        <v>19</v>
      </c>
      <c r="R18" s="10">
        <v>7.3999999999999996E-2</v>
      </c>
      <c r="S18" s="9">
        <v>3.7467840251527917</v>
      </c>
      <c r="U18" s="50"/>
      <c r="V18" s="7" t="s">
        <v>19</v>
      </c>
      <c r="W18" s="10">
        <v>7.3999999999999996E-2</v>
      </c>
      <c r="X18" s="9">
        <v>3.0343754914170802</v>
      </c>
    </row>
    <row r="19" spans="1:33" x14ac:dyDescent="0.25">
      <c r="A19" s="51" t="s">
        <v>20</v>
      </c>
      <c r="B19" s="54" t="s">
        <v>21</v>
      </c>
      <c r="C19" s="10">
        <v>3.4555410325187469E-2</v>
      </c>
      <c r="D19" s="11">
        <v>0.53745626954270598</v>
      </c>
      <c r="F19" s="51" t="s">
        <v>20</v>
      </c>
      <c r="G19" s="54" t="s">
        <v>21</v>
      </c>
      <c r="H19" s="10">
        <v>3.5021789693995907E-2</v>
      </c>
      <c r="I19" s="11">
        <v>1.4863874990536521</v>
      </c>
      <c r="K19" s="51" t="s">
        <v>20</v>
      </c>
      <c r="L19" s="54" t="s">
        <v>21</v>
      </c>
      <c r="M19" s="10">
        <v>3.451634604831285E-2</v>
      </c>
      <c r="N19" s="9">
        <v>0.73934509708706819</v>
      </c>
      <c r="P19" s="51" t="s">
        <v>20</v>
      </c>
      <c r="Q19" s="54" t="s">
        <v>21</v>
      </c>
      <c r="R19" s="10">
        <v>3.46805744495466E-2</v>
      </c>
      <c r="S19" s="9">
        <v>3.0544989311966022</v>
      </c>
      <c r="U19" s="51" t="s">
        <v>20</v>
      </c>
      <c r="V19" s="54" t="s">
        <v>21</v>
      </c>
      <c r="W19" s="10">
        <v>3.4676111092146827E-2</v>
      </c>
      <c r="X19" s="9">
        <v>1.2963770161078119</v>
      </c>
    </row>
    <row r="20" spans="1:33" x14ac:dyDescent="0.25">
      <c r="A20" s="53"/>
      <c r="B20" s="56"/>
      <c r="C20" s="10">
        <v>2.1972654637672489E-2</v>
      </c>
      <c r="D20" s="11">
        <v>0.26872813477135299</v>
      </c>
      <c r="F20" s="53"/>
      <c r="G20" s="56"/>
      <c r="H20" s="10">
        <v>2.2269210016541599E-2</v>
      </c>
      <c r="I20" s="11">
        <v>0.74319374952682604</v>
      </c>
      <c r="K20" s="52"/>
      <c r="L20" s="55"/>
      <c r="M20" s="10">
        <v>2.1947814942343775E-2</v>
      </c>
      <c r="N20" s="9">
        <v>0.3696725485435341</v>
      </c>
      <c r="P20" s="52"/>
      <c r="Q20" s="55"/>
      <c r="R20" s="10">
        <v>2.2175123039828552E-2</v>
      </c>
      <c r="S20" s="9">
        <v>1.5272494655983011</v>
      </c>
      <c r="U20" s="52"/>
      <c r="V20" s="55"/>
      <c r="W20" s="10">
        <v>2.2049404305580993E-2</v>
      </c>
      <c r="X20" s="9">
        <v>0.64818850805390593</v>
      </c>
    </row>
    <row r="21" spans="1:33" x14ac:dyDescent="0.25">
      <c r="K21" s="52"/>
      <c r="L21" s="55"/>
      <c r="M21" s="10"/>
      <c r="N21" s="9"/>
      <c r="P21" s="52"/>
      <c r="Q21" s="55"/>
      <c r="R21" s="10">
        <v>1.2871877277190946E-2</v>
      </c>
      <c r="S21" s="9">
        <v>0.76362473279915055</v>
      </c>
      <c r="U21" s="52"/>
      <c r="V21" s="55"/>
      <c r="W21" s="10"/>
      <c r="X21" s="9"/>
    </row>
    <row r="22" spans="1:33" x14ac:dyDescent="0.25">
      <c r="K22" s="52"/>
      <c r="L22" s="55"/>
      <c r="M22" s="10"/>
      <c r="N22" s="9"/>
      <c r="P22" s="52"/>
      <c r="Q22" s="55"/>
      <c r="R22" s="10"/>
      <c r="S22" s="9"/>
      <c r="U22" s="52"/>
      <c r="V22" s="55"/>
      <c r="W22" s="10"/>
      <c r="X22" s="9"/>
    </row>
    <row r="23" spans="1:33" x14ac:dyDescent="0.25">
      <c r="K23" s="52"/>
      <c r="L23" s="55"/>
      <c r="M23" s="10"/>
      <c r="N23" s="9"/>
      <c r="P23" s="52"/>
      <c r="Q23" s="55"/>
      <c r="R23" s="10"/>
      <c r="S23" s="9"/>
      <c r="U23" s="52"/>
      <c r="V23" s="55"/>
      <c r="W23" s="10"/>
      <c r="X23" s="9"/>
    </row>
    <row r="24" spans="1:33" x14ac:dyDescent="0.25">
      <c r="K24" s="52"/>
      <c r="L24" s="55"/>
      <c r="M24" s="10"/>
      <c r="N24" s="9"/>
      <c r="P24" s="52"/>
      <c r="Q24" s="55"/>
      <c r="R24" s="10"/>
      <c r="S24" s="9"/>
      <c r="U24" s="52"/>
      <c r="V24" s="55"/>
      <c r="W24" s="10"/>
      <c r="X24" s="9"/>
    </row>
    <row r="25" spans="1:33" x14ac:dyDescent="0.25">
      <c r="K25" s="52"/>
      <c r="L25" s="55"/>
      <c r="M25" s="10"/>
      <c r="N25" s="9"/>
      <c r="P25" s="52"/>
      <c r="Q25" s="55"/>
      <c r="R25" s="10"/>
      <c r="S25" s="9"/>
      <c r="U25" s="52"/>
      <c r="V25" s="55"/>
      <c r="W25" s="10"/>
      <c r="X25" s="9"/>
    </row>
    <row r="26" spans="1:33" x14ac:dyDescent="0.25">
      <c r="K26" s="53"/>
      <c r="L26" s="56"/>
      <c r="M26" s="10"/>
      <c r="N26" s="9"/>
      <c r="P26" s="53"/>
      <c r="Q26" s="56"/>
      <c r="R26" s="10"/>
      <c r="S26" s="9"/>
      <c r="U26" s="53"/>
      <c r="V26" s="56"/>
      <c r="W26" s="10"/>
      <c r="X26" s="9"/>
    </row>
    <row r="30" spans="1:33" x14ac:dyDescent="0.25">
      <c r="N30" s="47" t="s">
        <v>36</v>
      </c>
      <c r="O30" s="47"/>
      <c r="P30" s="47"/>
      <c r="Q30" s="47"/>
      <c r="R30" s="47"/>
      <c r="S30" s="47" t="s">
        <v>0</v>
      </c>
      <c r="T30" s="47"/>
      <c r="U30" s="47"/>
      <c r="V30" s="47"/>
      <c r="W30" s="47"/>
      <c r="X30" s="47" t="s">
        <v>40</v>
      </c>
      <c r="Y30" s="47"/>
      <c r="Z30" s="47"/>
      <c r="AA30" s="47"/>
      <c r="AB30" s="47"/>
    </row>
    <row r="31" spans="1:33" x14ac:dyDescent="0.25">
      <c r="N31" s="18" t="str">
        <f>+A1</f>
        <v>Captación Sup grueso</v>
      </c>
      <c r="O31" s="18" t="str">
        <f>+F1</f>
        <v>Captación Sup fino</v>
      </c>
      <c r="P31" s="18" t="str">
        <f>+K1</f>
        <v>Medio subsup</v>
      </c>
      <c r="Q31" s="18" t="str">
        <f>+P1</f>
        <v>Medio sup</v>
      </c>
      <c r="R31" s="18" t="str">
        <f>+U1</f>
        <v>Descarga sup</v>
      </c>
      <c r="S31" s="18" t="s">
        <v>22</v>
      </c>
      <c r="T31" s="18" t="s">
        <v>23</v>
      </c>
      <c r="U31" s="18" t="s">
        <v>25</v>
      </c>
      <c r="V31" s="18" t="s">
        <v>26</v>
      </c>
      <c r="W31" s="18" t="s">
        <v>27</v>
      </c>
      <c r="X31" s="18" t="s">
        <v>22</v>
      </c>
      <c r="Y31" s="18" t="s">
        <v>23</v>
      </c>
      <c r="Z31" s="18" t="s">
        <v>25</v>
      </c>
      <c r="AA31" s="18" t="s">
        <v>26</v>
      </c>
      <c r="AB31" s="18" t="s">
        <v>27</v>
      </c>
      <c r="AC31" s="18"/>
      <c r="AD31" s="18"/>
      <c r="AE31" s="18"/>
      <c r="AF31" s="18" t="s">
        <v>38</v>
      </c>
    </row>
    <row r="32" spans="1:33" x14ac:dyDescent="0.25">
      <c r="M32" s="15" t="s">
        <v>5</v>
      </c>
      <c r="N32" s="18">
        <f>+B2</f>
        <v>121.7</v>
      </c>
      <c r="O32" s="18">
        <f>+G2</f>
        <v>123.78</v>
      </c>
      <c r="P32" s="18">
        <f>+L2</f>
        <v>120.45</v>
      </c>
      <c r="Q32" s="18">
        <f>+Q2</f>
        <v>120.78</v>
      </c>
      <c r="R32" s="18">
        <f>+V2</f>
        <v>120.32</v>
      </c>
      <c r="S32" s="18">
        <v>121.7</v>
      </c>
      <c r="T32" s="18">
        <v>123.78</v>
      </c>
      <c r="U32" s="18">
        <v>120.45</v>
      </c>
      <c r="V32" s="18">
        <v>120.78</v>
      </c>
      <c r="W32" s="18">
        <v>120.32</v>
      </c>
      <c r="X32" s="18">
        <v>121.7</v>
      </c>
      <c r="Y32" s="18">
        <v>123.78</v>
      </c>
      <c r="Z32" s="18">
        <v>120.45</v>
      </c>
      <c r="AA32" s="18">
        <v>120.78</v>
      </c>
      <c r="AB32" s="18">
        <v>120.32</v>
      </c>
      <c r="AC32" s="18"/>
      <c r="AD32" s="18"/>
      <c r="AE32" s="18"/>
      <c r="AF32" s="18" t="s">
        <v>39</v>
      </c>
      <c r="AG32" s="15" t="s">
        <v>5</v>
      </c>
    </row>
    <row r="33" spans="13:37" x14ac:dyDescent="0.25">
      <c r="M33" s="16">
        <v>76.199999999999989</v>
      </c>
      <c r="N33" s="19">
        <f t="shared" ref="N33:N48" si="0">+D6</f>
        <v>100</v>
      </c>
      <c r="O33" s="19">
        <f t="shared" ref="O33:O48" si="1">+I6</f>
        <v>100</v>
      </c>
      <c r="P33" s="19">
        <f t="shared" ref="P33:P48" si="2">+N6</f>
        <v>100</v>
      </c>
      <c r="Q33" s="19">
        <f t="shared" ref="Q33:Q48" si="3">+S6</f>
        <v>100</v>
      </c>
      <c r="R33" s="19">
        <f t="shared" ref="R33:R48" si="4">+X6</f>
        <v>100</v>
      </c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>
        <v>0</v>
      </c>
      <c r="AF33" s="18">
        <f>(1-AE33)*100</f>
        <v>100</v>
      </c>
      <c r="AG33" s="16">
        <v>76.199999999999989</v>
      </c>
      <c r="AK33">
        <f>+AG33*AE33</f>
        <v>0</v>
      </c>
    </row>
    <row r="34" spans="13:37" x14ac:dyDescent="0.25">
      <c r="M34" s="16">
        <v>50.8</v>
      </c>
      <c r="N34" s="19">
        <f t="shared" si="0"/>
        <v>100</v>
      </c>
      <c r="O34" s="19">
        <f t="shared" si="1"/>
        <v>100</v>
      </c>
      <c r="P34" s="19">
        <f t="shared" si="2"/>
        <v>100</v>
      </c>
      <c r="Q34" s="19">
        <f t="shared" si="3"/>
        <v>100</v>
      </c>
      <c r="R34" s="19">
        <f t="shared" si="4"/>
        <v>100</v>
      </c>
      <c r="S34" s="19">
        <f>+N33-N34</f>
        <v>0</v>
      </c>
      <c r="T34" s="19">
        <f t="shared" ref="T34:W34" si="5">+O33-O34</f>
        <v>0</v>
      </c>
      <c r="U34" s="19">
        <f t="shared" si="5"/>
        <v>0</v>
      </c>
      <c r="V34" s="19">
        <f t="shared" si="5"/>
        <v>0</v>
      </c>
      <c r="W34" s="19">
        <f t="shared" si="5"/>
        <v>0</v>
      </c>
      <c r="X34" s="20">
        <f>+X$32*S34/100</f>
        <v>0</v>
      </c>
      <c r="Y34" s="20">
        <f t="shared" ref="Y34:AB34" si="6">+Y$32*T34/100</f>
        <v>0</v>
      </c>
      <c r="Z34" s="20">
        <f t="shared" si="6"/>
        <v>0</v>
      </c>
      <c r="AA34" s="20">
        <f t="shared" si="6"/>
        <v>0</v>
      </c>
      <c r="AB34" s="20">
        <f t="shared" si="6"/>
        <v>0</v>
      </c>
      <c r="AC34" s="20">
        <f>+SUM(X34:AB34)</f>
        <v>0</v>
      </c>
      <c r="AD34" s="20">
        <f>+AC34/$AC$49</f>
        <v>0</v>
      </c>
      <c r="AE34" s="20">
        <f>+AD34+AE33</f>
        <v>0</v>
      </c>
      <c r="AF34" s="20">
        <f t="shared" ref="AF34:AF48" si="7">(1-AE34)*100</f>
        <v>100</v>
      </c>
      <c r="AG34" s="16">
        <v>50.8</v>
      </c>
      <c r="AK34">
        <f t="shared" ref="AK34:AK48" si="8">+AG34*AE34</f>
        <v>0</v>
      </c>
    </row>
    <row r="35" spans="13:37" x14ac:dyDescent="0.25">
      <c r="M35" s="16">
        <v>38.099999999999994</v>
      </c>
      <c r="N35" s="19">
        <f t="shared" si="0"/>
        <v>100</v>
      </c>
      <c r="O35" s="19">
        <f t="shared" si="1"/>
        <v>100</v>
      </c>
      <c r="P35" s="19">
        <f t="shared" si="2"/>
        <v>100</v>
      </c>
      <c r="Q35" s="19">
        <f t="shared" si="3"/>
        <v>100</v>
      </c>
      <c r="R35" s="19">
        <f t="shared" si="4"/>
        <v>100</v>
      </c>
      <c r="S35" s="19">
        <f t="shared" ref="S35:S48" si="9">+N34-N35</f>
        <v>0</v>
      </c>
      <c r="T35" s="19">
        <f t="shared" ref="T35:T48" si="10">+O34-O35</f>
        <v>0</v>
      </c>
      <c r="U35" s="19">
        <f t="shared" ref="U35:U48" si="11">+P34-P35</f>
        <v>0</v>
      </c>
      <c r="V35" s="19">
        <f t="shared" ref="V35:V48" si="12">+Q34-Q35</f>
        <v>0</v>
      </c>
      <c r="W35" s="19">
        <f t="shared" ref="W35:W48" si="13">+R34-R35</f>
        <v>0</v>
      </c>
      <c r="X35" s="20">
        <f t="shared" ref="X35:X48" si="14">+X$32*S35/100</f>
        <v>0</v>
      </c>
      <c r="Y35" s="20">
        <f t="shared" ref="Y35:Y48" si="15">+Y$32*T35/100</f>
        <v>0</v>
      </c>
      <c r="Z35" s="20">
        <f t="shared" ref="Z35:Z48" si="16">+Z$32*U35/100</f>
        <v>0</v>
      </c>
      <c r="AA35" s="20">
        <f t="shared" ref="AA35:AA48" si="17">+AA$32*V35/100</f>
        <v>0</v>
      </c>
      <c r="AB35" s="20">
        <f t="shared" ref="AB35:AB48" si="18">+AB$32*W35/100</f>
        <v>0</v>
      </c>
      <c r="AC35" s="20">
        <f t="shared" ref="AC35:AC48" si="19">+SUM(X35:AB35)</f>
        <v>0</v>
      </c>
      <c r="AD35" s="20">
        <f t="shared" ref="AD35:AD48" si="20">+AC35/$AC$49</f>
        <v>0</v>
      </c>
      <c r="AE35" s="20">
        <f t="shared" ref="AE35:AE48" si="21">+AD35+AE34</f>
        <v>0</v>
      </c>
      <c r="AF35" s="20">
        <f t="shared" si="7"/>
        <v>100</v>
      </c>
      <c r="AG35" s="16">
        <v>38.099999999999994</v>
      </c>
      <c r="AK35">
        <f t="shared" si="8"/>
        <v>0</v>
      </c>
    </row>
    <row r="36" spans="13:37" x14ac:dyDescent="0.25">
      <c r="M36" s="16">
        <v>25.4</v>
      </c>
      <c r="N36" s="19">
        <f t="shared" si="0"/>
        <v>95.421995902373041</v>
      </c>
      <c r="O36" s="19">
        <f t="shared" si="1"/>
        <v>100</v>
      </c>
      <c r="P36" s="19">
        <f t="shared" si="2"/>
        <v>100</v>
      </c>
      <c r="Q36" s="19">
        <f t="shared" si="3"/>
        <v>100</v>
      </c>
      <c r="R36" s="19">
        <f t="shared" si="4"/>
        <v>100</v>
      </c>
      <c r="S36" s="19">
        <f t="shared" si="9"/>
        <v>4.5780040976269589</v>
      </c>
      <c r="T36" s="19">
        <f t="shared" si="10"/>
        <v>0</v>
      </c>
      <c r="U36" s="19">
        <f t="shared" si="11"/>
        <v>0</v>
      </c>
      <c r="V36" s="19">
        <f t="shared" si="12"/>
        <v>0</v>
      </c>
      <c r="W36" s="19">
        <f t="shared" si="13"/>
        <v>0</v>
      </c>
      <c r="X36" s="20">
        <f t="shared" si="14"/>
        <v>5.5714309868120093</v>
      </c>
      <c r="Y36" s="20">
        <f t="shared" si="15"/>
        <v>0</v>
      </c>
      <c r="Z36" s="20">
        <f t="shared" si="16"/>
        <v>0</v>
      </c>
      <c r="AA36" s="20">
        <f t="shared" si="17"/>
        <v>0</v>
      </c>
      <c r="AB36" s="20">
        <f t="shared" si="18"/>
        <v>0</v>
      </c>
      <c r="AC36" s="20">
        <f t="shared" si="19"/>
        <v>5.5714309868120093</v>
      </c>
      <c r="AD36" s="20">
        <f t="shared" si="20"/>
        <v>9.1921469427400336E-3</v>
      </c>
      <c r="AE36" s="20">
        <f t="shared" si="21"/>
        <v>9.1921469427400336E-3</v>
      </c>
      <c r="AF36" s="20">
        <f t="shared" si="7"/>
        <v>99.080785305725996</v>
      </c>
      <c r="AG36" s="16">
        <v>25.4</v>
      </c>
      <c r="AK36">
        <f t="shared" si="8"/>
        <v>0.23348053234559685</v>
      </c>
    </row>
    <row r="37" spans="13:37" x14ac:dyDescent="0.25">
      <c r="M37" s="16">
        <v>19.100000000000001</v>
      </c>
      <c r="N37" s="19">
        <f t="shared" si="0"/>
        <v>81.377180593956993</v>
      </c>
      <c r="O37" s="19">
        <f t="shared" si="1"/>
        <v>100</v>
      </c>
      <c r="P37" s="19">
        <f t="shared" si="2"/>
        <v>91.50723555997844</v>
      </c>
      <c r="Q37" s="19">
        <f t="shared" si="3"/>
        <v>100</v>
      </c>
      <c r="R37" s="19">
        <f t="shared" si="4"/>
        <v>98.645585560374982</v>
      </c>
      <c r="S37" s="19">
        <f t="shared" si="9"/>
        <v>14.044815308416048</v>
      </c>
      <c r="T37" s="19">
        <f t="shared" si="10"/>
        <v>0</v>
      </c>
      <c r="U37" s="19">
        <f t="shared" si="11"/>
        <v>8.4927644400215598</v>
      </c>
      <c r="V37" s="19">
        <f t="shared" si="12"/>
        <v>0</v>
      </c>
      <c r="W37" s="19">
        <f t="shared" si="13"/>
        <v>1.3544144396250175</v>
      </c>
      <c r="X37" s="20">
        <f t="shared" si="14"/>
        <v>17.09254023034233</v>
      </c>
      <c r="Y37" s="20">
        <f t="shared" si="15"/>
        <v>0</v>
      </c>
      <c r="Z37" s="20">
        <f t="shared" si="16"/>
        <v>10.229534768005969</v>
      </c>
      <c r="AA37" s="20">
        <f t="shared" si="17"/>
        <v>0</v>
      </c>
      <c r="AB37" s="20">
        <f t="shared" si="18"/>
        <v>1.6296314537568211</v>
      </c>
      <c r="AC37" s="20">
        <f t="shared" si="19"/>
        <v>28.951706452105121</v>
      </c>
      <c r="AD37" s="20">
        <f t="shared" si="20"/>
        <v>4.7766604411105612E-2</v>
      </c>
      <c r="AE37" s="20">
        <f t="shared" si="21"/>
        <v>5.6958751353845649E-2</v>
      </c>
      <c r="AF37" s="20">
        <f t="shared" si="7"/>
        <v>94.304124864615432</v>
      </c>
      <c r="AG37" s="16">
        <v>19.100000000000001</v>
      </c>
      <c r="AI37" t="s">
        <v>58</v>
      </c>
      <c r="AJ37" s="46">
        <f>+(AG43-AG44)/(AF43-AF44)*(10-AF44)+AG44</f>
        <v>0.19517509590102866</v>
      </c>
      <c r="AK37">
        <f t="shared" si="8"/>
        <v>1.0879121508584519</v>
      </c>
    </row>
    <row r="38" spans="13:37" x14ac:dyDescent="0.25">
      <c r="M38" s="16">
        <v>9.52</v>
      </c>
      <c r="N38" s="19">
        <f t="shared" si="0"/>
        <v>56.072842281144951</v>
      </c>
      <c r="O38" s="19">
        <f t="shared" si="1"/>
        <v>99.448346814247202</v>
      </c>
      <c r="P38" s="19">
        <f t="shared" si="2"/>
        <v>75.195919890533645</v>
      </c>
      <c r="Q38" s="19">
        <f t="shared" si="3"/>
        <v>100</v>
      </c>
      <c r="R38" s="19">
        <f t="shared" si="4"/>
        <v>93.966699314397644</v>
      </c>
      <c r="S38" s="19">
        <f t="shared" si="9"/>
        <v>25.304338312812042</v>
      </c>
      <c r="T38" s="19">
        <f t="shared" si="10"/>
        <v>0.55165318575279798</v>
      </c>
      <c r="U38" s="19">
        <f t="shared" si="11"/>
        <v>16.311315669444795</v>
      </c>
      <c r="V38" s="19">
        <f t="shared" si="12"/>
        <v>0</v>
      </c>
      <c r="W38" s="19">
        <f t="shared" si="13"/>
        <v>4.6788862459773384</v>
      </c>
      <c r="X38" s="20">
        <f t="shared" si="14"/>
        <v>30.795379726692257</v>
      </c>
      <c r="Y38" s="20">
        <f t="shared" si="15"/>
        <v>0.68283631332481332</v>
      </c>
      <c r="Z38" s="20">
        <f t="shared" si="16"/>
        <v>19.646979723846258</v>
      </c>
      <c r="AA38" s="20">
        <f t="shared" si="17"/>
        <v>0</v>
      </c>
      <c r="AB38" s="20">
        <f t="shared" si="18"/>
        <v>5.6296359311599335</v>
      </c>
      <c r="AC38" s="20">
        <f t="shared" si="19"/>
        <v>56.754831695023263</v>
      </c>
      <c r="AD38" s="20">
        <f t="shared" si="20"/>
        <v>9.3638197060330275E-2</v>
      </c>
      <c r="AE38" s="20">
        <f t="shared" si="21"/>
        <v>0.15059694841417592</v>
      </c>
      <c r="AF38" s="20">
        <f t="shared" si="7"/>
        <v>84.940305158582404</v>
      </c>
      <c r="AG38" s="16">
        <v>9.52</v>
      </c>
      <c r="AI38" t="s">
        <v>59</v>
      </c>
      <c r="AJ38" s="46">
        <f>+(AG42-AG43)/(AF42-AF43)*(16-AF43)+AG43</f>
        <v>0.28047801960080143</v>
      </c>
      <c r="AK38">
        <f t="shared" si="8"/>
        <v>1.4336829489029548</v>
      </c>
    </row>
    <row r="39" spans="13:37" x14ac:dyDescent="0.25">
      <c r="M39" s="15">
        <v>4.76</v>
      </c>
      <c r="N39" s="19">
        <f t="shared" si="0"/>
        <v>45.471227100033815</v>
      </c>
      <c r="O39" s="19">
        <f t="shared" si="1"/>
        <v>98.433730665531428</v>
      </c>
      <c r="P39" s="19">
        <f t="shared" si="2"/>
        <v>61.723265746154169</v>
      </c>
      <c r="Q39" s="19">
        <f t="shared" si="3"/>
        <v>97.700168933045646</v>
      </c>
      <c r="R39" s="19">
        <f t="shared" si="4"/>
        <v>89.604962455109373</v>
      </c>
      <c r="S39" s="19">
        <f t="shared" si="9"/>
        <v>10.601615181111136</v>
      </c>
      <c r="T39" s="19">
        <f t="shared" si="10"/>
        <v>1.0146161487157741</v>
      </c>
      <c r="U39" s="19">
        <f t="shared" si="11"/>
        <v>13.472654144379476</v>
      </c>
      <c r="V39" s="19">
        <f t="shared" si="12"/>
        <v>2.2998310669543542</v>
      </c>
      <c r="W39" s="19">
        <f t="shared" si="13"/>
        <v>4.3617368592882713</v>
      </c>
      <c r="X39" s="20">
        <f t="shared" si="14"/>
        <v>12.902165675412252</v>
      </c>
      <c r="Y39" s="20">
        <f t="shared" si="15"/>
        <v>1.2558918688803853</v>
      </c>
      <c r="Z39" s="20">
        <f t="shared" si="16"/>
        <v>16.227811916905079</v>
      </c>
      <c r="AA39" s="20">
        <f t="shared" si="17"/>
        <v>2.7777359626674691</v>
      </c>
      <c r="AB39" s="20">
        <f t="shared" si="18"/>
        <v>5.2480417890956472</v>
      </c>
      <c r="AC39" s="20">
        <f t="shared" si="19"/>
        <v>38.41164721296083</v>
      </c>
      <c r="AD39" s="20">
        <f t="shared" si="20"/>
        <v>6.3374294024283212E-2</v>
      </c>
      <c r="AE39" s="20">
        <f t="shared" si="21"/>
        <v>0.21397124243845914</v>
      </c>
      <c r="AF39" s="20">
        <f t="shared" si="7"/>
        <v>78.602875756154091</v>
      </c>
      <c r="AG39" s="15">
        <v>4.76</v>
      </c>
      <c r="AI39" t="s">
        <v>60</v>
      </c>
      <c r="AJ39" s="46">
        <f>+(AG41-AG42)/(AF41-AF42)*(50-AF42)+AG42</f>
        <v>0.76939480127906279</v>
      </c>
      <c r="AK39">
        <f t="shared" si="8"/>
        <v>1.0185031140070655</v>
      </c>
    </row>
    <row r="40" spans="13:37" x14ac:dyDescent="0.25">
      <c r="M40" s="15">
        <v>2</v>
      </c>
      <c r="N40" s="19">
        <f t="shared" si="0"/>
        <v>35.304238855847075</v>
      </c>
      <c r="O40" s="19">
        <f t="shared" si="1"/>
        <v>91.326096211153683</v>
      </c>
      <c r="P40" s="19">
        <f t="shared" si="2"/>
        <v>44.816519467595469</v>
      </c>
      <c r="Q40" s="19">
        <f t="shared" si="3"/>
        <v>94.440262933413621</v>
      </c>
      <c r="R40" s="19">
        <f t="shared" si="4"/>
        <v>81.59134368732802</v>
      </c>
      <c r="S40" s="19">
        <f t="shared" si="9"/>
        <v>10.16698824418674</v>
      </c>
      <c r="T40" s="19">
        <f t="shared" si="10"/>
        <v>7.1076344543777452</v>
      </c>
      <c r="U40" s="19">
        <f t="shared" si="11"/>
        <v>16.9067462785587</v>
      </c>
      <c r="V40" s="19">
        <f t="shared" si="12"/>
        <v>3.259905999632025</v>
      </c>
      <c r="W40" s="19">
        <f t="shared" si="13"/>
        <v>8.0136187677813524</v>
      </c>
      <c r="X40" s="20">
        <f t="shared" si="14"/>
        <v>12.373224693175263</v>
      </c>
      <c r="Y40" s="20">
        <f t="shared" si="15"/>
        <v>8.7978299276287721</v>
      </c>
      <c r="Z40" s="20">
        <f t="shared" si="16"/>
        <v>20.364175892523953</v>
      </c>
      <c r="AA40" s="20">
        <f t="shared" si="17"/>
        <v>3.9373144663555597</v>
      </c>
      <c r="AB40" s="20">
        <f t="shared" si="18"/>
        <v>9.6419861013945223</v>
      </c>
      <c r="AC40" s="20">
        <f t="shared" si="19"/>
        <v>55.11453108107807</v>
      </c>
      <c r="AD40" s="20">
        <f t="shared" si="20"/>
        <v>9.0931911312675612E-2</v>
      </c>
      <c r="AE40" s="20">
        <f t="shared" si="21"/>
        <v>0.30490315375113475</v>
      </c>
      <c r="AF40" s="20">
        <f t="shared" si="7"/>
        <v>69.509684624886532</v>
      </c>
      <c r="AG40" s="15">
        <v>2</v>
      </c>
      <c r="AI40" t="s">
        <v>61</v>
      </c>
      <c r="AJ40" s="46">
        <f>+(AG38-AG39)/(AF38-AF39)*(84-AF39)+AG39</f>
        <v>8.8137432086995346</v>
      </c>
      <c r="AK40">
        <f t="shared" si="8"/>
        <v>0.6098063075022695</v>
      </c>
    </row>
    <row r="41" spans="13:37" x14ac:dyDescent="0.25">
      <c r="M41" s="16">
        <v>0.84</v>
      </c>
      <c r="N41" s="19">
        <f t="shared" si="0"/>
        <v>22.424805525038025</v>
      </c>
      <c r="O41" s="19">
        <f t="shared" si="1"/>
        <v>70.164457769825674</v>
      </c>
      <c r="P41" s="19">
        <f t="shared" si="2"/>
        <v>25.931212344138459</v>
      </c>
      <c r="Q41" s="19">
        <f t="shared" si="3"/>
        <v>83.435453867752784</v>
      </c>
      <c r="R41" s="19">
        <f t="shared" si="4"/>
        <v>69.993521672489052</v>
      </c>
      <c r="S41" s="19">
        <f t="shared" si="9"/>
        <v>12.87943333080905</v>
      </c>
      <c r="T41" s="19">
        <f t="shared" si="10"/>
        <v>21.161638441328009</v>
      </c>
      <c r="U41" s="19">
        <f t="shared" si="11"/>
        <v>18.885307123457011</v>
      </c>
      <c r="V41" s="19">
        <f t="shared" si="12"/>
        <v>11.004809065660837</v>
      </c>
      <c r="W41" s="19">
        <f t="shared" si="13"/>
        <v>11.597822014838968</v>
      </c>
      <c r="X41" s="20">
        <f t="shared" si="14"/>
        <v>15.674270363594614</v>
      </c>
      <c r="Y41" s="20">
        <f t="shared" si="15"/>
        <v>26.193876062675809</v>
      </c>
      <c r="Z41" s="20">
        <f t="shared" si="16"/>
        <v>22.747352430203968</v>
      </c>
      <c r="AA41" s="20">
        <f t="shared" si="17"/>
        <v>13.291608389505159</v>
      </c>
      <c r="AB41" s="20">
        <f t="shared" si="18"/>
        <v>13.954499448254246</v>
      </c>
      <c r="AC41" s="20">
        <f t="shared" si="19"/>
        <v>91.861606694233785</v>
      </c>
      <c r="AD41" s="20">
        <f t="shared" si="20"/>
        <v>0.15155987557386222</v>
      </c>
      <c r="AE41" s="20">
        <f t="shared" si="21"/>
        <v>0.45646302932499694</v>
      </c>
      <c r="AF41" s="20">
        <f t="shared" si="7"/>
        <v>54.353697067500306</v>
      </c>
      <c r="AG41" s="16">
        <v>0.84</v>
      </c>
      <c r="AI41" t="s">
        <v>62</v>
      </c>
      <c r="AJ41" s="46">
        <f>+(AG37-AG38)/(AF37-AF38)*(90-AF38)+AG38</f>
        <v>14.696506821201456</v>
      </c>
      <c r="AK41">
        <f t="shared" si="8"/>
        <v>0.38342894463299743</v>
      </c>
    </row>
    <row r="42" spans="13:37" x14ac:dyDescent="0.25">
      <c r="M42" s="16">
        <v>0.42</v>
      </c>
      <c r="N42" s="19">
        <f t="shared" si="0"/>
        <v>9.4796747659740532</v>
      </c>
      <c r="O42" s="19">
        <f t="shared" si="1"/>
        <v>30.757184200551379</v>
      </c>
      <c r="P42" s="19">
        <f t="shared" si="2"/>
        <v>10.727993638086645</v>
      </c>
      <c r="Q42" s="19">
        <f t="shared" si="3"/>
        <v>51.113637031546119</v>
      </c>
      <c r="R42" s="19">
        <f t="shared" si="4"/>
        <v>40.831025430747466</v>
      </c>
      <c r="S42" s="19">
        <f t="shared" si="9"/>
        <v>12.945130759063971</v>
      </c>
      <c r="T42" s="19">
        <f t="shared" si="10"/>
        <v>39.407273569274295</v>
      </c>
      <c r="U42" s="19">
        <f t="shared" si="11"/>
        <v>15.203218706051814</v>
      </c>
      <c r="V42" s="19">
        <f t="shared" si="12"/>
        <v>32.321816836206665</v>
      </c>
      <c r="W42" s="19">
        <f t="shared" si="13"/>
        <v>29.162496241741586</v>
      </c>
      <c r="X42" s="20">
        <f t="shared" si="14"/>
        <v>15.754224133780854</v>
      </c>
      <c r="Y42" s="20">
        <f t="shared" si="15"/>
        <v>48.778323224047725</v>
      </c>
      <c r="Z42" s="20">
        <f t="shared" si="16"/>
        <v>18.31227693143941</v>
      </c>
      <c r="AA42" s="20">
        <f t="shared" si="17"/>
        <v>39.038290374770412</v>
      </c>
      <c r="AB42" s="20">
        <f t="shared" si="18"/>
        <v>35.088315478063471</v>
      </c>
      <c r="AC42" s="20">
        <f t="shared" si="19"/>
        <v>156.97143014210187</v>
      </c>
      <c r="AD42" s="20">
        <f t="shared" si="20"/>
        <v>0.25898273802434502</v>
      </c>
      <c r="AE42" s="20">
        <f t="shared" si="21"/>
        <v>0.71544576734934195</v>
      </c>
      <c r="AF42" s="20">
        <f t="shared" si="7"/>
        <v>28.455423265065804</v>
      </c>
      <c r="AG42" s="16">
        <v>0.42</v>
      </c>
      <c r="AI42" t="s">
        <v>63</v>
      </c>
      <c r="AJ42" s="46">
        <f>+SUM(AK33:AK48)</f>
        <v>5.5245212770482759</v>
      </c>
      <c r="AK42">
        <f t="shared" si="8"/>
        <v>0.30048722228672359</v>
      </c>
    </row>
    <row r="43" spans="13:37" x14ac:dyDescent="0.25">
      <c r="M43" s="15">
        <v>0.25</v>
      </c>
      <c r="N43" s="19">
        <f t="shared" si="0"/>
        <v>4.6043781108899111</v>
      </c>
      <c r="O43" s="19">
        <f t="shared" si="1"/>
        <v>14.842852492815155</v>
      </c>
      <c r="P43" s="19">
        <f t="shared" si="2"/>
        <v>5.7155293646486456</v>
      </c>
      <c r="Q43" s="19">
        <f t="shared" si="3"/>
        <v>23.640092720770454</v>
      </c>
      <c r="R43" s="19">
        <f t="shared" si="4"/>
        <v>18.280802501270685</v>
      </c>
      <c r="S43" s="19">
        <f t="shared" si="9"/>
        <v>4.8752966550841421</v>
      </c>
      <c r="T43" s="19">
        <f t="shared" si="10"/>
        <v>15.914331707736224</v>
      </c>
      <c r="U43" s="19">
        <f t="shared" si="11"/>
        <v>5.0124642734379989</v>
      </c>
      <c r="V43" s="19">
        <f t="shared" si="12"/>
        <v>27.473544310775665</v>
      </c>
      <c r="W43" s="19">
        <f t="shared" si="13"/>
        <v>22.550222929476782</v>
      </c>
      <c r="X43" s="20">
        <f t="shared" si="14"/>
        <v>5.9332360292374009</v>
      </c>
      <c r="Y43" s="20">
        <f t="shared" si="15"/>
        <v>19.698759787835897</v>
      </c>
      <c r="Z43" s="20">
        <f t="shared" si="16"/>
        <v>6.0375132173560697</v>
      </c>
      <c r="AA43" s="20">
        <f t="shared" si="17"/>
        <v>33.182546818554847</v>
      </c>
      <c r="AB43" s="20">
        <f t="shared" si="18"/>
        <v>27.132428228746463</v>
      </c>
      <c r="AC43" s="20">
        <f t="shared" si="19"/>
        <v>91.984484081730685</v>
      </c>
      <c r="AD43" s="20">
        <f t="shared" si="20"/>
        <v>0.15176260751193793</v>
      </c>
      <c r="AE43" s="20">
        <f t="shared" si="21"/>
        <v>0.86720837486127988</v>
      </c>
      <c r="AF43" s="20">
        <f t="shared" si="7"/>
        <v>13.279162513872011</v>
      </c>
      <c r="AG43" s="15">
        <v>0.25</v>
      </c>
      <c r="AK43">
        <f t="shared" si="8"/>
        <v>0.21680209371531997</v>
      </c>
    </row>
    <row r="44" spans="13:37" x14ac:dyDescent="0.25">
      <c r="M44" s="16">
        <v>0.105</v>
      </c>
      <c r="N44" s="19">
        <f t="shared" si="0"/>
        <v>4.379911897685588</v>
      </c>
      <c r="O44" s="19">
        <f t="shared" si="1"/>
        <v>6.4696501764979786</v>
      </c>
      <c r="P44" s="19">
        <f t="shared" si="2"/>
        <v>3.0547776525830557</v>
      </c>
      <c r="Q44" s="19">
        <f t="shared" si="3"/>
        <v>5.455222915066571</v>
      </c>
      <c r="R44" s="19">
        <f t="shared" si="4"/>
        <v>4.3515614101949325</v>
      </c>
      <c r="S44" s="19">
        <f t="shared" si="9"/>
        <v>0.22446621320432314</v>
      </c>
      <c r="T44" s="19">
        <f t="shared" si="10"/>
        <v>8.373202316317176</v>
      </c>
      <c r="U44" s="19">
        <f t="shared" si="11"/>
        <v>2.6607517120655899</v>
      </c>
      <c r="V44" s="19">
        <f t="shared" si="12"/>
        <v>18.184869805703883</v>
      </c>
      <c r="W44" s="19">
        <f t="shared" si="13"/>
        <v>13.929241091075752</v>
      </c>
      <c r="X44" s="20">
        <f t="shared" si="14"/>
        <v>0.27317538146966125</v>
      </c>
      <c r="Y44" s="20">
        <f t="shared" si="15"/>
        <v>10.364349827137401</v>
      </c>
      <c r="Z44" s="20">
        <f t="shared" si="16"/>
        <v>3.2048754371830031</v>
      </c>
      <c r="AA44" s="20">
        <f t="shared" si="17"/>
        <v>21.963685751329148</v>
      </c>
      <c r="AB44" s="20">
        <f t="shared" si="18"/>
        <v>16.759662880782344</v>
      </c>
      <c r="AC44" s="20">
        <f t="shared" si="19"/>
        <v>52.56574927790156</v>
      </c>
      <c r="AD44" s="20">
        <f t="shared" si="20"/>
        <v>8.6726748058345071E-2</v>
      </c>
      <c r="AE44" s="20">
        <f t="shared" si="21"/>
        <v>0.9539351229196249</v>
      </c>
      <c r="AF44" s="20">
        <f t="shared" si="7"/>
        <v>4.60648770803751</v>
      </c>
      <c r="AG44" s="16">
        <v>0.105</v>
      </c>
      <c r="AK44">
        <f t="shared" si="8"/>
        <v>0.10016318790656061</v>
      </c>
    </row>
    <row r="45" spans="13:37" x14ac:dyDescent="0.25">
      <c r="M45" s="17">
        <v>7.3999999999999996E-2</v>
      </c>
      <c r="N45" s="19">
        <f t="shared" si="0"/>
        <v>3.9337168641208962</v>
      </c>
      <c r="O45" s="19">
        <f t="shared" si="1"/>
        <v>4.8279927841314105</v>
      </c>
      <c r="P45" s="19">
        <f t="shared" si="2"/>
        <v>2.6025252369345111</v>
      </c>
      <c r="Q45" s="19">
        <f t="shared" si="3"/>
        <v>3.7467840251527917</v>
      </c>
      <c r="R45" s="19">
        <f t="shared" si="4"/>
        <v>3.0343754914170802</v>
      </c>
      <c r="S45" s="19">
        <f t="shared" si="9"/>
        <v>0.44619503356469181</v>
      </c>
      <c r="T45" s="19">
        <f t="shared" si="10"/>
        <v>1.641657392366568</v>
      </c>
      <c r="U45" s="19">
        <f t="shared" si="11"/>
        <v>0.45225241564854457</v>
      </c>
      <c r="V45" s="19">
        <f t="shared" si="12"/>
        <v>1.7084388899137792</v>
      </c>
      <c r="W45" s="19">
        <f t="shared" si="13"/>
        <v>1.3171859187778523</v>
      </c>
      <c r="X45" s="20">
        <f t="shared" si="14"/>
        <v>0.54301935584822991</v>
      </c>
      <c r="Y45" s="20">
        <f t="shared" si="15"/>
        <v>2.0320435202713383</v>
      </c>
      <c r="Z45" s="20">
        <f t="shared" si="16"/>
        <v>0.54473803464867199</v>
      </c>
      <c r="AA45" s="20">
        <f t="shared" si="17"/>
        <v>2.0634524912378627</v>
      </c>
      <c r="AB45" s="20">
        <f t="shared" si="18"/>
        <v>1.5848380974735119</v>
      </c>
      <c r="AC45" s="20">
        <f t="shared" si="19"/>
        <v>6.7680914994796151</v>
      </c>
      <c r="AD45" s="20">
        <f t="shared" si="20"/>
        <v>1.1166483392218235E-2</v>
      </c>
      <c r="AE45" s="20">
        <f t="shared" si="21"/>
        <v>0.96510160631184316</v>
      </c>
      <c r="AF45" s="20">
        <f t="shared" si="7"/>
        <v>3.4898393688156837</v>
      </c>
      <c r="AG45" s="17">
        <v>7.3999999999999996E-2</v>
      </c>
      <c r="AK45">
        <f t="shared" si="8"/>
        <v>7.1417518867076396E-2</v>
      </c>
    </row>
    <row r="46" spans="13:37" x14ac:dyDescent="0.25">
      <c r="M46" s="17">
        <v>3.4555410325187469E-2</v>
      </c>
      <c r="N46" s="19">
        <f t="shared" si="0"/>
        <v>0.53745626954270598</v>
      </c>
      <c r="O46" s="19">
        <f t="shared" si="1"/>
        <v>1.4863874990536521</v>
      </c>
      <c r="P46" s="19">
        <f t="shared" si="2"/>
        <v>0.73934509708706819</v>
      </c>
      <c r="Q46" s="19">
        <f t="shared" si="3"/>
        <v>3.0544989311966022</v>
      </c>
      <c r="R46" s="19">
        <f t="shared" si="4"/>
        <v>1.2963770161078119</v>
      </c>
      <c r="S46" s="19">
        <f t="shared" si="9"/>
        <v>3.3962605945781901</v>
      </c>
      <c r="T46" s="19">
        <f t="shared" si="10"/>
        <v>3.3416052850777582</v>
      </c>
      <c r="U46" s="19">
        <f t="shared" si="11"/>
        <v>1.8631801398474428</v>
      </c>
      <c r="V46" s="19">
        <f t="shared" si="12"/>
        <v>0.69228509395618953</v>
      </c>
      <c r="W46" s="19">
        <f t="shared" si="13"/>
        <v>1.7379984753092683</v>
      </c>
      <c r="X46" s="20">
        <f t="shared" si="14"/>
        <v>4.133249143601657</v>
      </c>
      <c r="Y46" s="20">
        <f t="shared" si="15"/>
        <v>4.1362390218692493</v>
      </c>
      <c r="Z46" s="20">
        <f t="shared" si="16"/>
        <v>2.244200478446245</v>
      </c>
      <c r="AA46" s="20">
        <f t="shared" si="17"/>
        <v>0.83614193648028579</v>
      </c>
      <c r="AB46" s="20">
        <f t="shared" si="18"/>
        <v>2.0911597654921117</v>
      </c>
      <c r="AC46" s="20">
        <f t="shared" si="19"/>
        <v>13.440990345889549</v>
      </c>
      <c r="AD46" s="20">
        <f t="shared" si="20"/>
        <v>2.2175911109340248E-2</v>
      </c>
      <c r="AE46" s="20">
        <f t="shared" si="21"/>
        <v>0.98727751742118341</v>
      </c>
      <c r="AF46" s="20">
        <f t="shared" si="7"/>
        <v>1.2722482578816585</v>
      </c>
      <c r="AG46" s="17">
        <v>3.4555410325187469E-2</v>
      </c>
      <c r="AK46">
        <f t="shared" si="8"/>
        <v>3.4115779719321414E-2</v>
      </c>
    </row>
    <row r="47" spans="13:37" x14ac:dyDescent="0.25">
      <c r="M47" s="17">
        <v>2.1972654637672489E-2</v>
      </c>
      <c r="N47" s="19">
        <f t="shared" si="0"/>
        <v>0.26872813477135299</v>
      </c>
      <c r="O47" s="19">
        <f t="shared" si="1"/>
        <v>0.74319374952682604</v>
      </c>
      <c r="P47" s="19">
        <f t="shared" si="2"/>
        <v>0.3696725485435341</v>
      </c>
      <c r="Q47" s="19">
        <f t="shared" si="3"/>
        <v>1.5272494655983011</v>
      </c>
      <c r="R47" s="19">
        <f t="shared" si="4"/>
        <v>0.64818850805390593</v>
      </c>
      <c r="S47" s="19">
        <f t="shared" si="9"/>
        <v>0.26872813477135299</v>
      </c>
      <c r="T47" s="19">
        <f t="shared" si="10"/>
        <v>0.74319374952682604</v>
      </c>
      <c r="U47" s="19">
        <f t="shared" si="11"/>
        <v>0.3696725485435341</v>
      </c>
      <c r="V47" s="19">
        <f t="shared" si="12"/>
        <v>1.5272494655983011</v>
      </c>
      <c r="W47" s="19">
        <f t="shared" si="13"/>
        <v>0.64818850805390593</v>
      </c>
      <c r="X47" s="20">
        <f t="shared" si="14"/>
        <v>0.32704214001673665</v>
      </c>
      <c r="Y47" s="20">
        <f t="shared" si="15"/>
        <v>0.91992522316430525</v>
      </c>
      <c r="Z47" s="20">
        <f t="shared" si="16"/>
        <v>0.44527058472068681</v>
      </c>
      <c r="AA47" s="20">
        <f t="shared" si="17"/>
        <v>1.8446119045496281</v>
      </c>
      <c r="AB47" s="20">
        <f t="shared" si="18"/>
        <v>0.77990041289045964</v>
      </c>
      <c r="AC47" s="20">
        <f t="shared" si="19"/>
        <v>4.3167502653418168</v>
      </c>
      <c r="AD47" s="20">
        <f t="shared" si="20"/>
        <v>7.1220845861790262E-3</v>
      </c>
      <c r="AE47" s="20">
        <f t="shared" si="21"/>
        <v>0.99439960200736244</v>
      </c>
      <c r="AF47" s="20">
        <f t="shared" si="7"/>
        <v>0.56003979926375624</v>
      </c>
      <c r="AG47" s="17">
        <v>2.1972654637672489E-2</v>
      </c>
      <c r="AK47">
        <f t="shared" si="8"/>
        <v>2.1849599026746748E-2</v>
      </c>
    </row>
    <row r="48" spans="13:37" x14ac:dyDescent="0.25">
      <c r="M48" s="17">
        <v>1.2871877277190946E-2</v>
      </c>
      <c r="N48" s="19">
        <f t="shared" si="0"/>
        <v>0</v>
      </c>
      <c r="O48" s="19">
        <f t="shared" si="1"/>
        <v>0</v>
      </c>
      <c r="P48" s="19">
        <f t="shared" si="2"/>
        <v>0</v>
      </c>
      <c r="Q48" s="19">
        <f t="shared" si="3"/>
        <v>0.76362473279915055</v>
      </c>
      <c r="R48" s="19">
        <f t="shared" si="4"/>
        <v>0</v>
      </c>
      <c r="S48" s="19">
        <f t="shared" si="9"/>
        <v>0.26872813477135299</v>
      </c>
      <c r="T48" s="19">
        <f t="shared" si="10"/>
        <v>0.74319374952682604</v>
      </c>
      <c r="U48" s="19">
        <f t="shared" si="11"/>
        <v>0.3696725485435341</v>
      </c>
      <c r="V48" s="19">
        <f t="shared" si="12"/>
        <v>0.76362473279915055</v>
      </c>
      <c r="W48" s="19">
        <f t="shared" si="13"/>
        <v>0.64818850805390593</v>
      </c>
      <c r="X48" s="20">
        <f t="shared" si="14"/>
        <v>0.32704214001673665</v>
      </c>
      <c r="Y48" s="20">
        <f t="shared" si="15"/>
        <v>0.91992522316430525</v>
      </c>
      <c r="Z48" s="20">
        <f t="shared" si="16"/>
        <v>0.44527058472068681</v>
      </c>
      <c r="AA48" s="20">
        <f t="shared" si="17"/>
        <v>0.92230595227481404</v>
      </c>
      <c r="AB48" s="20">
        <f t="shared" si="18"/>
        <v>0.77990041289045964</v>
      </c>
      <c r="AC48" s="20">
        <f t="shared" si="19"/>
        <v>3.3944443130670021</v>
      </c>
      <c r="AD48" s="20">
        <f t="shared" si="20"/>
        <v>5.6003979926374636E-3</v>
      </c>
      <c r="AE48" s="20">
        <f t="shared" si="21"/>
        <v>0.99999999999999989</v>
      </c>
      <c r="AF48" s="20">
        <f t="shared" si="7"/>
        <v>1.1102230246251565E-14</v>
      </c>
      <c r="AG48" s="17">
        <v>1.2871877277190946E-2</v>
      </c>
      <c r="AK48">
        <f t="shared" si="8"/>
        <v>1.2871877277190944E-2</v>
      </c>
    </row>
    <row r="49" spans="29:36" x14ac:dyDescent="0.25">
      <c r="AC49" s="12">
        <f>SUM(AC34:AC48)</f>
        <v>606.1076940477252</v>
      </c>
    </row>
    <row r="50" spans="29:36" x14ac:dyDescent="0.25">
      <c r="AI50" t="s">
        <v>64</v>
      </c>
      <c r="AJ50">
        <f>0.038*AJ41^(1/6)</f>
        <v>5.9472922927001917E-2</v>
      </c>
    </row>
  </sheetData>
  <mergeCells count="18">
    <mergeCell ref="L19:L26"/>
    <mergeCell ref="A19:A20"/>
    <mergeCell ref="B19:B20"/>
    <mergeCell ref="F19:F20"/>
    <mergeCell ref="G19:G20"/>
    <mergeCell ref="K5:K18"/>
    <mergeCell ref="A5:A18"/>
    <mergeCell ref="F5:F18"/>
    <mergeCell ref="K19:K26"/>
    <mergeCell ref="X30:AB30"/>
    <mergeCell ref="U5:U18"/>
    <mergeCell ref="U19:U26"/>
    <mergeCell ref="V19:V26"/>
    <mergeCell ref="N30:R30"/>
    <mergeCell ref="S30:W30"/>
    <mergeCell ref="P5:P18"/>
    <mergeCell ref="P19:P26"/>
    <mergeCell ref="Q19:Q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B233-6B04-4C26-94A4-E623C129F1AB}">
  <dimension ref="B3:H14"/>
  <sheetViews>
    <sheetView workbookViewId="0">
      <selection activeCell="P24" sqref="P24"/>
    </sheetView>
  </sheetViews>
  <sheetFormatPr baseColWidth="10" defaultColWidth="9.42578125" defaultRowHeight="15" x14ac:dyDescent="0.25"/>
  <cols>
    <col min="1" max="1" width="7.7109375" bestFit="1" customWidth="1"/>
    <col min="2" max="2" width="8.28515625" customWidth="1"/>
    <col min="3" max="3" width="6.7109375" bestFit="1" customWidth="1"/>
    <col min="4" max="4" width="6.5703125" bestFit="1" customWidth="1"/>
    <col min="5" max="5" width="5.5703125" bestFit="1" customWidth="1"/>
    <col min="6" max="6" width="4.7109375" bestFit="1" customWidth="1"/>
    <col min="7" max="7" width="6.5703125" bestFit="1" customWidth="1"/>
    <col min="8" max="8" width="5.5703125" bestFit="1" customWidth="1"/>
    <col min="9" max="9" width="4.7109375" bestFit="1" customWidth="1"/>
    <col min="10" max="10" width="11.140625" bestFit="1" customWidth="1"/>
    <col min="11" max="11" width="4.7109375" bestFit="1" customWidth="1"/>
  </cols>
  <sheetData>
    <row r="3" spans="2:8" ht="15.75" thickBot="1" x14ac:dyDescent="0.3">
      <c r="B3" s="1" t="s">
        <v>28</v>
      </c>
      <c r="C3" s="1" t="s">
        <v>30</v>
      </c>
      <c r="D3" s="1" t="s">
        <v>31</v>
      </c>
      <c r="E3" s="1" t="s">
        <v>32</v>
      </c>
      <c r="F3" s="1" t="s">
        <v>30</v>
      </c>
      <c r="G3" s="1" t="s">
        <v>31</v>
      </c>
      <c r="H3" s="1" t="s">
        <v>32</v>
      </c>
    </row>
    <row r="4" spans="2:8" ht="15.75" thickBot="1" x14ac:dyDescent="0.3">
      <c r="B4" s="2">
        <v>2</v>
      </c>
      <c r="C4" s="2">
        <v>0.72</v>
      </c>
      <c r="D4" s="2">
        <v>0.86</v>
      </c>
      <c r="E4" s="2">
        <v>0.8</v>
      </c>
      <c r="F4" s="2">
        <v>72</v>
      </c>
      <c r="G4" s="2">
        <v>86</v>
      </c>
      <c r="H4" s="2">
        <v>80</v>
      </c>
    </row>
    <row r="5" spans="2:8" ht="15.75" thickBot="1" x14ac:dyDescent="0.3">
      <c r="B5" s="2">
        <v>0.71</v>
      </c>
      <c r="C5" s="2">
        <v>0.32</v>
      </c>
      <c r="D5" s="2">
        <v>0.38</v>
      </c>
      <c r="E5" s="2">
        <v>0.32</v>
      </c>
      <c r="F5" s="2">
        <v>32</v>
      </c>
      <c r="G5" s="2">
        <v>38</v>
      </c>
      <c r="H5" s="2">
        <v>32</v>
      </c>
    </row>
    <row r="6" spans="2:8" ht="15.75" thickBot="1" x14ac:dyDescent="0.3">
      <c r="B6" s="2">
        <v>0.25</v>
      </c>
      <c r="C6" s="2">
        <v>0.18</v>
      </c>
      <c r="D6" s="2">
        <v>0.16</v>
      </c>
      <c r="E6" s="2">
        <v>0.1</v>
      </c>
      <c r="F6" s="2">
        <v>18</v>
      </c>
      <c r="G6" s="2">
        <v>16</v>
      </c>
      <c r="H6" s="2">
        <v>10</v>
      </c>
    </row>
    <row r="7" spans="2:8" ht="15.75" thickBot="1" x14ac:dyDescent="0.3">
      <c r="B7" s="2">
        <v>4.4999999999999998E-2</v>
      </c>
      <c r="C7" s="2">
        <v>0.16</v>
      </c>
      <c r="D7" s="2">
        <v>0.14000000000000001</v>
      </c>
      <c r="E7" s="2">
        <v>0.08</v>
      </c>
      <c r="F7" s="2">
        <v>16</v>
      </c>
      <c r="G7" s="2">
        <v>14.000000000000002</v>
      </c>
      <c r="H7" s="2">
        <v>8</v>
      </c>
    </row>
    <row r="8" spans="2:8" x14ac:dyDescent="0.25">
      <c r="C8" s="12"/>
    </row>
    <row r="9" spans="2:8" ht="15.75" thickBot="1" x14ac:dyDescent="0.3">
      <c r="B9" s="1" t="s">
        <v>28</v>
      </c>
      <c r="C9" s="1" t="s">
        <v>33</v>
      </c>
      <c r="D9" s="1" t="s">
        <v>34</v>
      </c>
      <c r="E9" s="1" t="s">
        <v>35</v>
      </c>
      <c r="F9" s="1" t="s">
        <v>33</v>
      </c>
      <c r="G9" s="1" t="s">
        <v>34</v>
      </c>
      <c r="H9" s="1" t="s">
        <v>35</v>
      </c>
    </row>
    <row r="10" spans="2:8" ht="15.75" thickBot="1" x14ac:dyDescent="0.3">
      <c r="B10" s="2">
        <v>2</v>
      </c>
      <c r="C10" s="2">
        <v>0.98</v>
      </c>
      <c r="D10" s="2">
        <v>0.9</v>
      </c>
      <c r="E10" s="2">
        <v>0.64</v>
      </c>
      <c r="F10" s="2">
        <v>98</v>
      </c>
      <c r="G10" s="2">
        <v>90</v>
      </c>
      <c r="H10" s="2">
        <v>64</v>
      </c>
    </row>
    <row r="11" spans="2:8" ht="15.75" thickBot="1" x14ac:dyDescent="0.3">
      <c r="B11" s="2">
        <v>0.71</v>
      </c>
      <c r="C11" s="2">
        <v>0.94</v>
      </c>
      <c r="D11" s="2">
        <v>0.6</v>
      </c>
      <c r="E11" s="2">
        <v>0.46</v>
      </c>
      <c r="F11" s="2">
        <v>94</v>
      </c>
      <c r="G11" s="2">
        <v>60</v>
      </c>
      <c r="H11" s="2">
        <v>46</v>
      </c>
    </row>
    <row r="12" spans="2:8" ht="15.75" thickBot="1" x14ac:dyDescent="0.3">
      <c r="B12" s="2">
        <v>0.25</v>
      </c>
      <c r="C12" s="2">
        <v>0.42</v>
      </c>
      <c r="D12" s="2">
        <v>0.44</v>
      </c>
      <c r="E12" s="2">
        <v>0.44</v>
      </c>
      <c r="F12" s="2">
        <v>42</v>
      </c>
      <c r="G12" s="2">
        <v>44</v>
      </c>
      <c r="H12" s="2">
        <v>44</v>
      </c>
    </row>
    <row r="13" spans="2:8" ht="15.75" thickBot="1" x14ac:dyDescent="0.3">
      <c r="B13" s="13">
        <v>0.13</v>
      </c>
      <c r="C13" s="2">
        <v>0.3</v>
      </c>
      <c r="D13" s="2">
        <v>0.38</v>
      </c>
      <c r="E13" s="2">
        <v>0.38</v>
      </c>
      <c r="F13" s="2">
        <v>30</v>
      </c>
      <c r="G13" s="2">
        <v>38</v>
      </c>
      <c r="H13" s="2">
        <v>38</v>
      </c>
    </row>
    <row r="14" spans="2:8" ht="15.75" thickBot="1" x14ac:dyDescent="0.3">
      <c r="B14" s="2">
        <v>4.4999999999999998E-2</v>
      </c>
      <c r="C14" s="2">
        <v>0.28000000000000003</v>
      </c>
      <c r="D14" s="2">
        <v>0.28000000000000003</v>
      </c>
      <c r="E14" s="2">
        <v>0.24</v>
      </c>
      <c r="F14" s="2">
        <v>28.000000000000004</v>
      </c>
      <c r="G14" s="2">
        <v>28.000000000000004</v>
      </c>
      <c r="H14" s="2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8AD7A-CA65-4F4A-85BC-DCCF7CF996B5}">
  <dimension ref="A1"/>
  <sheetViews>
    <sheetView workbookViewId="0">
      <selection activeCell="R10" sqref="R10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5BF24-7FA4-4B38-92E4-A142CA8A96AC}">
  <dimension ref="A1:K30"/>
  <sheetViews>
    <sheetView workbookViewId="0">
      <selection sqref="A1:XFD1048576"/>
    </sheetView>
  </sheetViews>
  <sheetFormatPr baseColWidth="10" defaultColWidth="9.140625" defaultRowHeight="15" x14ac:dyDescent="0.25"/>
  <cols>
    <col min="1" max="1" width="15.7109375" bestFit="1" customWidth="1"/>
    <col min="2" max="2" width="13.28515625" customWidth="1"/>
    <col min="3" max="3" width="8.5703125" bestFit="1" customWidth="1"/>
    <col min="4" max="4" width="8.42578125" bestFit="1" customWidth="1"/>
    <col min="5" max="5" width="8.5703125" bestFit="1" customWidth="1"/>
    <col min="6" max="6" width="7.5703125" bestFit="1" customWidth="1"/>
    <col min="7" max="7" width="9.140625" bestFit="1" customWidth="1"/>
    <col min="8" max="8" width="7.28515625" bestFit="1" customWidth="1"/>
    <col min="9" max="9" width="10" bestFit="1" customWidth="1"/>
    <col min="10" max="10" width="11.5703125" bestFit="1" customWidth="1"/>
  </cols>
  <sheetData>
    <row r="1" spans="1:11" x14ac:dyDescent="0.25">
      <c r="A1" s="21" t="s">
        <v>41</v>
      </c>
      <c r="B1" s="22" t="s">
        <v>42</v>
      </c>
      <c r="C1" s="22"/>
      <c r="D1" s="22"/>
      <c r="E1" s="22"/>
      <c r="F1" s="22"/>
      <c r="G1" s="22"/>
      <c r="H1" s="22"/>
      <c r="I1" s="22"/>
      <c r="J1" s="22"/>
    </row>
    <row r="2" spans="1:11" ht="26.25" thickBot="1" x14ac:dyDescent="0.3">
      <c r="A2" s="23" t="s">
        <v>43</v>
      </c>
      <c r="B2" s="23" t="s">
        <v>44</v>
      </c>
      <c r="C2" s="23" t="s">
        <v>45</v>
      </c>
      <c r="D2" s="23" t="s">
        <v>46</v>
      </c>
      <c r="E2" s="23" t="s">
        <v>47</v>
      </c>
      <c r="F2" s="23" t="s">
        <v>48</v>
      </c>
      <c r="G2" s="23" t="s">
        <v>49</v>
      </c>
      <c r="H2" s="23" t="s">
        <v>50</v>
      </c>
      <c r="I2" s="23" t="s">
        <v>51</v>
      </c>
      <c r="J2" s="14" t="s">
        <v>37</v>
      </c>
      <c r="K2" s="14" t="s">
        <v>0</v>
      </c>
    </row>
    <row r="3" spans="1:11" ht="17.25" thickBot="1" x14ac:dyDescent="0.35">
      <c r="A3" s="24">
        <f>Granumometrias!M33</f>
        <v>76.199999999999989</v>
      </c>
      <c r="B3" s="24">
        <f>Granumometrias!N33</f>
        <v>100</v>
      </c>
      <c r="C3" s="24" t="s">
        <v>29</v>
      </c>
      <c r="D3" s="24" t="s">
        <v>29</v>
      </c>
      <c r="E3" s="24" t="s">
        <v>29</v>
      </c>
      <c r="F3" s="24" t="s">
        <v>29</v>
      </c>
      <c r="G3" s="24" t="s">
        <v>29</v>
      </c>
      <c r="H3" s="24" t="s">
        <v>29</v>
      </c>
      <c r="I3" s="24"/>
      <c r="J3" s="25"/>
      <c r="K3" s="26"/>
    </row>
    <row r="4" spans="1:11" ht="17.25" thickBot="1" x14ac:dyDescent="0.35">
      <c r="A4" s="24">
        <f>Granumometrias!M34</f>
        <v>50.8</v>
      </c>
      <c r="B4" s="24">
        <f>Granumometrias!N34</f>
        <v>100</v>
      </c>
      <c r="C4" s="24">
        <f>+B3-B4</f>
        <v>0</v>
      </c>
      <c r="D4" s="24">
        <f>+(A3*A4)^0.5</f>
        <v>62.217039466692718</v>
      </c>
      <c r="E4" s="24">
        <f>+(A4+A3)/2</f>
        <v>63.499999999999993</v>
      </c>
      <c r="F4" s="24">
        <f>+E4*C4</f>
        <v>0</v>
      </c>
      <c r="G4" s="24">
        <f>0.94*((1.65*9.81*(A4/1000))^0.5)*1000</f>
        <v>852.38575957133401</v>
      </c>
      <c r="H4" s="24">
        <f>+G4/$G$24</f>
        <v>24.96335784787286</v>
      </c>
      <c r="I4" s="24">
        <f>+(C4/100*H4)</f>
        <v>0</v>
      </c>
      <c r="J4" s="27">
        <f>+Granumometrias!AC34</f>
        <v>0</v>
      </c>
      <c r="K4" s="28">
        <f t="shared" ref="K4:K18" si="0">+J4/$J$22</f>
        <v>0</v>
      </c>
    </row>
    <row r="5" spans="1:11" ht="17.25" thickBot="1" x14ac:dyDescent="0.35">
      <c r="A5" s="24">
        <f>Granumometrias!M35</f>
        <v>38.099999999999994</v>
      </c>
      <c r="B5" s="24">
        <f>Granumometrias!N35</f>
        <v>100</v>
      </c>
      <c r="C5" s="24">
        <f t="shared" ref="C5:C18" si="1">+B4-B5</f>
        <v>0</v>
      </c>
      <c r="D5" s="24">
        <f t="shared" ref="D5:D18" si="2">+(A4*A5)^0.5</f>
        <v>43.994090512249478</v>
      </c>
      <c r="E5" s="24">
        <f t="shared" ref="E5:E18" si="3">+(A5+A4)/2</f>
        <v>44.449999999999996</v>
      </c>
      <c r="F5" s="24">
        <f t="shared" ref="F5:F18" si="4">+E5*C5</f>
        <v>0</v>
      </c>
      <c r="G5" s="24">
        <f t="shared" ref="G5" si="5">0.94*((1.65*9.81*(A5/1000))^0.5)*1000</f>
        <v>738.18772161286984</v>
      </c>
      <c r="H5" s="24">
        <f t="shared" ref="H5:H18" si="6">+G5/$G$24</f>
        <v>21.618902060019526</v>
      </c>
      <c r="I5" s="24">
        <f t="shared" ref="I5:I18" si="7">+(C5/100*H5)</f>
        <v>0</v>
      </c>
      <c r="J5" s="27">
        <f>+Granumometrias!AC35</f>
        <v>0</v>
      </c>
      <c r="K5" s="28">
        <f t="shared" si="0"/>
        <v>0</v>
      </c>
    </row>
    <row r="6" spans="1:11" ht="17.25" thickBot="1" x14ac:dyDescent="0.35">
      <c r="A6" s="24">
        <f>Granumometrias!M36</f>
        <v>25.4</v>
      </c>
      <c r="B6" s="24">
        <f>Granumometrias!N36</f>
        <v>95.421995902373041</v>
      </c>
      <c r="C6" s="24">
        <f t="shared" si="1"/>
        <v>4.5780040976269589</v>
      </c>
      <c r="D6" s="24">
        <f t="shared" si="2"/>
        <v>31.108519733346359</v>
      </c>
      <c r="E6" s="24">
        <f t="shared" si="3"/>
        <v>31.749999999999996</v>
      </c>
      <c r="F6" s="24">
        <f t="shared" si="4"/>
        <v>145.35163009965592</v>
      </c>
      <c r="G6" s="24">
        <f>0.94*((1.65*9.81*(A6/1000))^0.5)*1000</f>
        <v>602.72775077973631</v>
      </c>
      <c r="H6" s="24">
        <f t="shared" si="6"/>
        <v>17.651759615417316</v>
      </c>
      <c r="I6" s="24">
        <f t="shared" si="7"/>
        <v>0.80809827849706539</v>
      </c>
      <c r="J6" s="27">
        <f>+Granumometrias!AC36</f>
        <v>5.5714309868120093</v>
      </c>
      <c r="K6" s="28">
        <f t="shared" si="0"/>
        <v>9.1921469427400336E-3</v>
      </c>
    </row>
    <row r="7" spans="1:11" ht="17.25" thickBot="1" x14ac:dyDescent="0.35">
      <c r="A7" s="24">
        <f>Granumometrias!M37</f>
        <v>19.100000000000001</v>
      </c>
      <c r="B7" s="24">
        <f>Granumometrias!N37</f>
        <v>81.377180593956993</v>
      </c>
      <c r="C7" s="24">
        <f t="shared" si="1"/>
        <v>14.044815308416048</v>
      </c>
      <c r="D7" s="24">
        <f t="shared" si="2"/>
        <v>22.025893852463739</v>
      </c>
      <c r="E7" s="24">
        <f t="shared" si="3"/>
        <v>22.25</v>
      </c>
      <c r="F7" s="24">
        <f t="shared" si="4"/>
        <v>312.49714061225706</v>
      </c>
      <c r="G7" s="24">
        <f t="shared" ref="G7:G9" si="8">0.94*((1.65*9.81*(A7/1000))^0.5)*1000</f>
        <v>522.66210474837374</v>
      </c>
      <c r="H7" s="24">
        <f t="shared" si="6"/>
        <v>15.306920614109766</v>
      </c>
      <c r="I7" s="24">
        <f t="shared" si="7"/>
        <v>2.14982872965758</v>
      </c>
      <c r="J7" s="27">
        <f>+Granumometrias!AC37</f>
        <v>28.951706452105121</v>
      </c>
      <c r="K7" s="28">
        <f t="shared" si="0"/>
        <v>4.7766604411105612E-2</v>
      </c>
    </row>
    <row r="8" spans="1:11" ht="17.25" thickBot="1" x14ac:dyDescent="0.35">
      <c r="A8" s="24">
        <f>Granumometrias!M38</f>
        <v>9.52</v>
      </c>
      <c r="B8" s="24">
        <f>Granumometrias!N38</f>
        <v>56.072842281144951</v>
      </c>
      <c r="C8" s="24">
        <f t="shared" si="1"/>
        <v>25.304338312812042</v>
      </c>
      <c r="D8" s="24">
        <f t="shared" si="2"/>
        <v>13.484509631425237</v>
      </c>
      <c r="E8" s="24">
        <f t="shared" si="3"/>
        <v>14.31</v>
      </c>
      <c r="F8" s="24">
        <f t="shared" si="4"/>
        <v>362.10508125634033</v>
      </c>
      <c r="G8" s="24">
        <f t="shared" si="8"/>
        <v>368.99697306075552</v>
      </c>
      <c r="H8" s="24">
        <f t="shared" si="6"/>
        <v>10.806613531331131</v>
      </c>
      <c r="I8" s="24">
        <f t="shared" si="7"/>
        <v>2.7345420481261535</v>
      </c>
      <c r="J8" s="27">
        <f>+Granumometrias!AC38</f>
        <v>56.754831695023263</v>
      </c>
      <c r="K8" s="28">
        <f t="shared" si="0"/>
        <v>9.3638197060330275E-2</v>
      </c>
    </row>
    <row r="9" spans="1:11" ht="17.25" thickBot="1" x14ac:dyDescent="0.35">
      <c r="A9" s="24">
        <f>Granumometrias!M39</f>
        <v>4.76</v>
      </c>
      <c r="B9" s="24">
        <f>Granumometrias!N39</f>
        <v>45.471227100033815</v>
      </c>
      <c r="C9" s="24">
        <f t="shared" si="1"/>
        <v>10.601615181111136</v>
      </c>
      <c r="D9" s="24">
        <f t="shared" si="2"/>
        <v>6.7316565568959321</v>
      </c>
      <c r="E9" s="24">
        <f t="shared" si="3"/>
        <v>7.14</v>
      </c>
      <c r="F9" s="24">
        <f t="shared" si="4"/>
        <v>75.695532393133504</v>
      </c>
      <c r="G9" s="24">
        <f t="shared" si="8"/>
        <v>260.92026188857011</v>
      </c>
      <c r="H9" s="24">
        <f t="shared" si="6"/>
        <v>7.6414297096665482</v>
      </c>
      <c r="I9" s="24">
        <f t="shared" si="7"/>
        <v>0.81011497215394535</v>
      </c>
      <c r="J9" s="27">
        <f>+Granumometrias!AC39</f>
        <v>38.41164721296083</v>
      </c>
      <c r="K9" s="28">
        <f t="shared" si="0"/>
        <v>6.3374294024283212E-2</v>
      </c>
    </row>
    <row r="10" spans="1:11" ht="17.25" thickBot="1" x14ac:dyDescent="0.35">
      <c r="A10" s="24">
        <f>Granumometrias!M40</f>
        <v>2</v>
      </c>
      <c r="B10" s="24">
        <f>Granumometrias!N40</f>
        <v>35.304238855847075</v>
      </c>
      <c r="C10" s="24">
        <f t="shared" si="1"/>
        <v>10.16698824418674</v>
      </c>
      <c r="D10" s="24">
        <f t="shared" si="2"/>
        <v>3.0854497241083023</v>
      </c>
      <c r="E10" s="24">
        <f t="shared" si="3"/>
        <v>3.38</v>
      </c>
      <c r="F10" s="24">
        <f t="shared" si="4"/>
        <v>34.364420265351178</v>
      </c>
      <c r="G10" s="24">
        <f>0.91*((1.65*9.81*(A10/1000))^0.5)*1000</f>
        <v>163.73173577532245</v>
      </c>
      <c r="H10" s="24">
        <f t="shared" si="6"/>
        <v>4.7951222381615652</v>
      </c>
      <c r="I10" s="24">
        <f t="shared" si="7"/>
        <v>0.48751951424827045</v>
      </c>
      <c r="J10" s="27">
        <f>+Granumometrias!AC40</f>
        <v>55.11453108107807</v>
      </c>
      <c r="K10" s="29">
        <f t="shared" si="0"/>
        <v>9.0931911312675612E-2</v>
      </c>
    </row>
    <row r="11" spans="1:11" ht="17.25" thickBot="1" x14ac:dyDescent="0.35">
      <c r="A11" s="24">
        <f>Granumometrias!M41</f>
        <v>0.84</v>
      </c>
      <c r="B11" s="24">
        <f>Granumometrias!N41</f>
        <v>22.424805525038025</v>
      </c>
      <c r="C11" s="24">
        <f t="shared" si="1"/>
        <v>12.87943333080905</v>
      </c>
      <c r="D11" s="24">
        <f t="shared" si="2"/>
        <v>1.2961481396815719</v>
      </c>
      <c r="E11" s="24">
        <f t="shared" si="3"/>
        <v>1.42</v>
      </c>
      <c r="F11" s="24">
        <f t="shared" si="4"/>
        <v>18.288795329748851</v>
      </c>
      <c r="G11" s="24">
        <f>0.73*((1.65*9.81*(A11/1000))^0.5)*1000</f>
        <v>85.121443326578998</v>
      </c>
      <c r="H11" s="24">
        <f t="shared" si="6"/>
        <v>2.4929053851831644</v>
      </c>
      <c r="I11" s="24">
        <f t="shared" si="7"/>
        <v>0.32107208708481422</v>
      </c>
      <c r="J11" s="27">
        <f>+Granumometrias!AC41</f>
        <v>91.861606694233785</v>
      </c>
      <c r="K11" s="29">
        <f t="shared" si="0"/>
        <v>0.15155987557386222</v>
      </c>
    </row>
    <row r="12" spans="1:11" ht="17.25" thickBot="1" x14ac:dyDescent="0.35">
      <c r="A12" s="24">
        <f>Granumometrias!M42</f>
        <v>0.42</v>
      </c>
      <c r="B12" s="24">
        <f>Granumometrias!N42</f>
        <v>9.4796747659740532</v>
      </c>
      <c r="C12" s="24">
        <f t="shared" si="1"/>
        <v>12.945130759063971</v>
      </c>
      <c r="D12" s="24">
        <f t="shared" si="2"/>
        <v>0.59396969619669993</v>
      </c>
      <c r="E12" s="24">
        <f t="shared" si="3"/>
        <v>0.63</v>
      </c>
      <c r="F12" s="24">
        <f t="shared" si="4"/>
        <v>8.1554323782103015</v>
      </c>
      <c r="G12" s="24">
        <f>0.49*((1.65*9.81*(A12/1000))^0.5)*1000</f>
        <v>40.401473153834374</v>
      </c>
      <c r="H12" s="24">
        <f t="shared" si="6"/>
        <v>1.1832159566199234</v>
      </c>
      <c r="I12" s="24">
        <f t="shared" si="7"/>
        <v>0.15316885274655873</v>
      </c>
      <c r="J12" s="27">
        <f>+Granumometrias!AC42</f>
        <v>156.97143014210187</v>
      </c>
      <c r="K12" s="29">
        <f t="shared" si="0"/>
        <v>0.25898273802434502</v>
      </c>
    </row>
    <row r="13" spans="1:11" ht="17.25" thickBot="1" x14ac:dyDescent="0.35">
      <c r="A13" s="24">
        <f>Granumometrias!M43</f>
        <v>0.25</v>
      </c>
      <c r="B13" s="24">
        <f>Granumometrias!N43</f>
        <v>4.6043781108899111</v>
      </c>
      <c r="C13" s="24">
        <f>+B12-B13</f>
        <v>4.8752966550841421</v>
      </c>
      <c r="D13" s="24">
        <f t="shared" si="2"/>
        <v>0.32403703492039299</v>
      </c>
      <c r="E13" s="24">
        <f t="shared" si="3"/>
        <v>0.33499999999999996</v>
      </c>
      <c r="F13" s="24">
        <f t="shared" si="4"/>
        <v>1.6332243794531873</v>
      </c>
      <c r="G13" s="24">
        <f>0.49*((1.65*9.81*(A13/1000))^0.5)*1000</f>
        <v>31.170413255200838</v>
      </c>
      <c r="H13" s="24">
        <f t="shared" si="6"/>
        <v>0.91287092917527712</v>
      </c>
      <c r="I13" s="24">
        <f>+(C13/100*H13)</f>
        <v>4.4505165875317818E-2</v>
      </c>
      <c r="J13" s="27">
        <f>+Granumometrias!AC43</f>
        <v>91.984484081730685</v>
      </c>
      <c r="K13" s="29">
        <f t="shared" si="0"/>
        <v>0.15176260751193793</v>
      </c>
    </row>
    <row r="14" spans="1:11" ht="17.25" thickBot="1" x14ac:dyDescent="0.35">
      <c r="A14" s="24">
        <f>Granumometrias!M44</f>
        <v>0.105</v>
      </c>
      <c r="B14" s="24">
        <f>Granumometrias!N44</f>
        <v>4.379911897685588</v>
      </c>
      <c r="C14" s="24">
        <f t="shared" si="1"/>
        <v>0.22446621320432314</v>
      </c>
      <c r="D14" s="24">
        <f t="shared" si="2"/>
        <v>0.16201851746019649</v>
      </c>
      <c r="E14" s="24">
        <f t="shared" si="3"/>
        <v>0.17749999999999999</v>
      </c>
      <c r="F14" s="24">
        <f t="shared" si="4"/>
        <v>3.9842752843767357E-2</v>
      </c>
      <c r="G14" s="24">
        <f>0.15*((1.65*9.81*(A14/1000))^0.5)*1000</f>
        <v>6.1838989521175067</v>
      </c>
      <c r="H14" s="24">
        <f t="shared" si="6"/>
        <v>0.18110448315611075</v>
      </c>
      <c r="I14" s="24">
        <f t="shared" si="7"/>
        <v>4.0651837528378308E-4</v>
      </c>
      <c r="J14" s="27">
        <f>+Granumometrias!AC44</f>
        <v>52.56574927790156</v>
      </c>
      <c r="K14" s="29">
        <f t="shared" si="0"/>
        <v>8.6726748058345071E-2</v>
      </c>
    </row>
    <row r="15" spans="1:11" ht="17.25" thickBot="1" x14ac:dyDescent="0.35">
      <c r="A15" s="24">
        <f>Granumometrias!M45</f>
        <v>7.3999999999999996E-2</v>
      </c>
      <c r="B15" s="24">
        <f>Granumometrias!N45</f>
        <v>3.9337168641208962</v>
      </c>
      <c r="C15" s="24">
        <f t="shared" si="1"/>
        <v>0.44619503356469181</v>
      </c>
      <c r="D15" s="24">
        <f t="shared" si="2"/>
        <v>8.814760348415604E-2</v>
      </c>
      <c r="E15" s="24">
        <f t="shared" si="3"/>
        <v>8.9499999999999996E-2</v>
      </c>
      <c r="F15" s="24">
        <f t="shared" si="4"/>
        <v>3.9934455504039915E-2</v>
      </c>
      <c r="G15" s="24">
        <f>0.08*((1.65*9.81*(A15/1000))^0.5)*1000</f>
        <v>2.7687409412944359</v>
      </c>
      <c r="H15" s="24">
        <f t="shared" si="6"/>
        <v>8.1086609119735198E-2</v>
      </c>
      <c r="I15" s="30">
        <f t="shared" si="7"/>
        <v>3.6180442277827291E-4</v>
      </c>
      <c r="J15" s="27">
        <f>+Granumometrias!AC45</f>
        <v>6.7680914994796151</v>
      </c>
      <c r="K15" s="29">
        <f t="shared" si="0"/>
        <v>1.1166483392218235E-2</v>
      </c>
    </row>
    <row r="16" spans="1:11" ht="17.25" thickBot="1" x14ac:dyDescent="0.35">
      <c r="A16" s="24">
        <f>Granumometrias!M46</f>
        <v>3.4555410325187469E-2</v>
      </c>
      <c r="B16" s="24">
        <f>Granumometrias!N46</f>
        <v>0.53745626954270598</v>
      </c>
      <c r="C16" s="24">
        <f t="shared" si="1"/>
        <v>3.3962605945781901</v>
      </c>
      <c r="D16" s="24">
        <f t="shared" si="2"/>
        <v>5.0567779900484777E-2</v>
      </c>
      <c r="E16" s="24">
        <f t="shared" si="3"/>
        <v>5.4277705162593733E-2</v>
      </c>
      <c r="F16" s="24">
        <f t="shared" si="4"/>
        <v>0.18434123120785029</v>
      </c>
      <c r="G16" s="24">
        <f>0.03*((1.65*9.81*(A16/1000))^0.5)*1000</f>
        <v>0.70950548574749017</v>
      </c>
      <c r="H16" s="24">
        <f t="shared" si="6"/>
        <v>2.0778901027922691E-2</v>
      </c>
      <c r="I16" s="30">
        <f t="shared" si="7"/>
        <v>7.0570562759774086E-4</v>
      </c>
      <c r="J16" s="27">
        <f>+Granumometrias!AC46</f>
        <v>13.440990345889549</v>
      </c>
      <c r="K16" s="31">
        <f t="shared" si="0"/>
        <v>2.2175911109340248E-2</v>
      </c>
    </row>
    <row r="17" spans="1:11" ht="17.25" thickBot="1" x14ac:dyDescent="0.35">
      <c r="A17" s="24">
        <f>Granumometrias!M47</f>
        <v>2.1972654637672489E-2</v>
      </c>
      <c r="B17" s="24">
        <f>Granumometrias!N47</f>
        <v>0.26872813477135299</v>
      </c>
      <c r="C17" s="24">
        <f t="shared" si="1"/>
        <v>0.26872813477135299</v>
      </c>
      <c r="D17" s="24">
        <f t="shared" si="2"/>
        <v>2.7554928723159608E-2</v>
      </c>
      <c r="E17" s="24">
        <f t="shared" si="3"/>
        <v>2.8264032481429981E-2</v>
      </c>
      <c r="F17" s="24">
        <f t="shared" si="4"/>
        <v>7.5953407298516139E-3</v>
      </c>
      <c r="G17" s="24">
        <f>0.01*((1.65*9.81*(A17/1000))^0.5)*1000</f>
        <v>0.18858960053319104</v>
      </c>
      <c r="H17" s="24">
        <f t="shared" si="6"/>
        <v>5.5231209949647871E-3</v>
      </c>
      <c r="I17" s="30">
        <f t="shared" si="7"/>
        <v>1.4842180030933865E-5</v>
      </c>
      <c r="J17" s="27">
        <f>+Granumometrias!AC47</f>
        <v>4.3167502653418168</v>
      </c>
      <c r="K17" s="31">
        <f t="shared" si="0"/>
        <v>7.1220845861790262E-3</v>
      </c>
    </row>
    <row r="18" spans="1:11" ht="17.25" thickBot="1" x14ac:dyDescent="0.35">
      <c r="A18" s="24">
        <f>Granumometrias!M48</f>
        <v>1.2871877277190946E-2</v>
      </c>
      <c r="B18" s="24">
        <f>Granumometrias!N48</f>
        <v>0</v>
      </c>
      <c r="C18" s="24">
        <f t="shared" si="1"/>
        <v>0.26872813477135299</v>
      </c>
      <c r="D18" s="24">
        <f t="shared" si="2"/>
        <v>1.6817529959843116E-2</v>
      </c>
      <c r="E18" s="24">
        <f t="shared" si="3"/>
        <v>1.7422265957431717E-2</v>
      </c>
      <c r="F18" s="24">
        <f t="shared" si="4"/>
        <v>4.6818530342310656E-3</v>
      </c>
      <c r="G18" s="24">
        <f>0.01*((1.65*9.81*(A18/1000))^0.5)*1000</f>
        <v>0.14434356291405975</v>
      </c>
      <c r="H18" s="24">
        <f t="shared" si="6"/>
        <v>4.2273113711715788E-3</v>
      </c>
      <c r="I18" s="30">
        <f t="shared" si="7"/>
        <v>1.1359974998726691E-5</v>
      </c>
      <c r="J18" s="27">
        <f>+Granumometrias!AC48</f>
        <v>3.3944443130670021</v>
      </c>
      <c r="K18" s="31">
        <f t="shared" si="0"/>
        <v>5.6003979926374636E-3</v>
      </c>
    </row>
    <row r="19" spans="1:11" ht="17.25" hidden="1" thickBot="1" x14ac:dyDescent="0.35">
      <c r="A19" s="24"/>
      <c r="B19" s="24"/>
      <c r="C19" s="24"/>
      <c r="D19" s="24"/>
      <c r="E19" s="24"/>
      <c r="F19" s="24"/>
      <c r="G19" s="24"/>
      <c r="H19" s="24"/>
      <c r="I19" s="30"/>
      <c r="J19" s="27"/>
      <c r="K19" s="31"/>
    </row>
    <row r="20" spans="1:11" ht="17.25" hidden="1" thickBot="1" x14ac:dyDescent="0.35">
      <c r="A20" s="24"/>
      <c r="B20" s="24"/>
      <c r="C20" s="24"/>
      <c r="D20" s="24"/>
      <c r="E20" s="24"/>
      <c r="F20" s="24"/>
      <c r="G20" s="24"/>
      <c r="H20" s="24"/>
      <c r="I20" s="30"/>
      <c r="J20" s="27"/>
      <c r="K20" s="33"/>
    </row>
    <row r="21" spans="1:11" ht="17.25" hidden="1" thickBot="1" x14ac:dyDescent="0.35">
      <c r="A21" s="24"/>
      <c r="B21" s="24"/>
      <c r="C21" s="24"/>
      <c r="D21" s="24"/>
      <c r="E21" s="24"/>
      <c r="F21" s="24"/>
      <c r="G21" s="24"/>
      <c r="H21" s="24"/>
      <c r="I21" s="30"/>
      <c r="J21" s="27"/>
      <c r="K21" s="33"/>
    </row>
    <row r="22" spans="1:11" ht="26.25" thickBot="1" x14ac:dyDescent="0.3">
      <c r="E22" s="24" t="s">
        <v>52</v>
      </c>
      <c r="F22" s="24">
        <f>+SUM(F4:F21)/100</f>
        <v>9.5836765234747006</v>
      </c>
      <c r="G22" s="34"/>
      <c r="H22" s="24" t="s">
        <v>53</v>
      </c>
      <c r="I22" s="32">
        <f>+SUM(I13:I21)</f>
        <v>4.6005396456007278E-2</v>
      </c>
      <c r="J22" s="35">
        <f>+SUM(J4:J21)</f>
        <v>606.1076940477252</v>
      </c>
      <c r="K22" s="36">
        <f>+SUM(K4:K21)</f>
        <v>0.99999999999999989</v>
      </c>
    </row>
    <row r="24" spans="1:11" x14ac:dyDescent="0.25">
      <c r="A24" s="37">
        <v>0.3</v>
      </c>
      <c r="B24" s="37">
        <f>(B13-B12)/(A13-A12)*(A24-A13)+B13</f>
        <v>6.0382888917970119</v>
      </c>
      <c r="C24" s="37"/>
      <c r="D24" s="37"/>
      <c r="E24" s="37"/>
      <c r="F24" s="37"/>
      <c r="G24" s="37">
        <f>0.49*((1.65*9.81*(A24/1000))^0.5)*1000</f>
        <v>34.145476933263055</v>
      </c>
      <c r="H24" s="37"/>
      <c r="I24" s="38">
        <f>+(1-(B24/100))+I22</f>
        <v>0.98562250753803715</v>
      </c>
      <c r="J24" s="37"/>
    </row>
    <row r="25" spans="1:11" x14ac:dyDescent="0.25">
      <c r="B25" s="12">
        <f>100-B24</f>
        <v>93.961711108202991</v>
      </c>
    </row>
    <row r="27" spans="1:11" x14ac:dyDescent="0.25">
      <c r="J27" s="39" t="s">
        <v>54</v>
      </c>
      <c r="K27" s="40">
        <f>+SUM(K20:K21)</f>
        <v>0</v>
      </c>
    </row>
    <row r="28" spans="1:11" x14ac:dyDescent="0.25">
      <c r="J28" s="41" t="s">
        <v>55</v>
      </c>
      <c r="K28" s="42">
        <f>+SUM(K16:K19)</f>
        <v>3.489839368815674E-2</v>
      </c>
    </row>
    <row r="29" spans="1:11" x14ac:dyDescent="0.25">
      <c r="J29" s="43" t="s">
        <v>56</v>
      </c>
      <c r="K29" s="44">
        <f>+SUM(K10:K15)</f>
        <v>0.75113036387338417</v>
      </c>
    </row>
    <row r="30" spans="1:11" x14ac:dyDescent="0.25">
      <c r="J30" t="s">
        <v>57</v>
      </c>
      <c r="K30" s="45">
        <f>+SUM(K4:K9)</f>
        <v>0.21397124243845914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98A0D-B870-4D6F-9FF8-2C4F52BC738D}">
  <dimension ref="A1:K30"/>
  <sheetViews>
    <sheetView tabSelected="1" workbookViewId="0">
      <selection activeCell="I24" sqref="I24"/>
    </sheetView>
  </sheetViews>
  <sheetFormatPr baseColWidth="10" defaultColWidth="9.140625" defaultRowHeight="15" x14ac:dyDescent="0.25"/>
  <cols>
    <col min="1" max="1" width="15.7109375" bestFit="1" customWidth="1"/>
    <col min="2" max="2" width="13.28515625" customWidth="1"/>
    <col min="3" max="3" width="8.5703125" bestFit="1" customWidth="1"/>
    <col min="4" max="4" width="8.42578125" bestFit="1" customWidth="1"/>
    <col min="5" max="5" width="8.5703125" bestFit="1" customWidth="1"/>
    <col min="6" max="6" width="7.5703125" bestFit="1" customWidth="1"/>
    <col min="8" max="8" width="7.28515625" bestFit="1" customWidth="1"/>
    <col min="9" max="9" width="10" bestFit="1" customWidth="1"/>
    <col min="10" max="10" width="11.5703125" bestFit="1" customWidth="1"/>
  </cols>
  <sheetData>
    <row r="1" spans="1:11" x14ac:dyDescent="0.25">
      <c r="A1" s="21" t="s">
        <v>41</v>
      </c>
      <c r="B1" s="22" t="s">
        <v>42</v>
      </c>
      <c r="C1" s="22"/>
      <c r="D1" s="22"/>
      <c r="E1" s="22"/>
      <c r="F1" s="22"/>
      <c r="G1" s="22"/>
      <c r="H1" s="22"/>
      <c r="I1" s="22"/>
      <c r="J1" s="22"/>
    </row>
    <row r="2" spans="1:11" ht="26.25" thickBot="1" x14ac:dyDescent="0.3">
      <c r="A2" s="23" t="s">
        <v>43</v>
      </c>
      <c r="B2" s="23" t="s">
        <v>44</v>
      </c>
      <c r="C2" s="23" t="s">
        <v>45</v>
      </c>
      <c r="D2" s="23" t="s">
        <v>46</v>
      </c>
      <c r="E2" s="23" t="s">
        <v>47</v>
      </c>
      <c r="F2" s="23" t="s">
        <v>48</v>
      </c>
      <c r="G2" s="23" t="s">
        <v>49</v>
      </c>
      <c r="H2" s="23" t="s">
        <v>50</v>
      </c>
      <c r="I2" s="23" t="s">
        <v>51</v>
      </c>
      <c r="J2" s="14" t="s">
        <v>37</v>
      </c>
      <c r="K2" s="14" t="s">
        <v>0</v>
      </c>
    </row>
    <row r="3" spans="1:11" ht="17.25" thickBot="1" x14ac:dyDescent="0.35">
      <c r="A3" s="24">
        <f>Granumometrias!M33</f>
        <v>76.199999999999989</v>
      </c>
      <c r="B3" s="24">
        <f>Granumometrias!N33</f>
        <v>100</v>
      </c>
      <c r="C3" s="24" t="s">
        <v>29</v>
      </c>
      <c r="D3" s="24" t="s">
        <v>29</v>
      </c>
      <c r="E3" s="24" t="s">
        <v>29</v>
      </c>
      <c r="F3" s="24" t="s">
        <v>29</v>
      </c>
      <c r="G3" s="24" t="s">
        <v>29</v>
      </c>
      <c r="H3" s="24" t="s">
        <v>29</v>
      </c>
      <c r="I3" s="24"/>
      <c r="J3" s="25"/>
      <c r="K3" s="26"/>
    </row>
    <row r="4" spans="1:11" ht="17.25" thickBot="1" x14ac:dyDescent="0.35">
      <c r="A4" s="24">
        <f>Granumometrias!M34</f>
        <v>50.8</v>
      </c>
      <c r="B4" s="24">
        <f>Granumometrias!N34</f>
        <v>100</v>
      </c>
      <c r="C4" s="24">
        <f>+B3-B4</f>
        <v>0</v>
      </c>
      <c r="D4" s="24">
        <f>+(A3*A4)^0.5</f>
        <v>62.217039466692718</v>
      </c>
      <c r="E4" s="24">
        <f>+(A4+A3)/2</f>
        <v>63.499999999999993</v>
      </c>
      <c r="F4" s="24">
        <f>+E4*C4</f>
        <v>0</v>
      </c>
      <c r="G4" s="24">
        <f>0.94*((1.65*9.81*(A4/1000))^0.5)*1000</f>
        <v>852.38575957133401</v>
      </c>
      <c r="H4" s="24">
        <f>+G4/$G$24</f>
        <v>6.8364971021767893</v>
      </c>
      <c r="I4" s="24">
        <f>+(C4/100*H4)</f>
        <v>0</v>
      </c>
      <c r="J4" s="27">
        <f>+Granumometrias!AC34</f>
        <v>0</v>
      </c>
      <c r="K4" s="28">
        <f t="shared" ref="K4:K18" si="0">+J4/$J$22</f>
        <v>0</v>
      </c>
    </row>
    <row r="5" spans="1:11" ht="17.25" thickBot="1" x14ac:dyDescent="0.35">
      <c r="A5" s="24">
        <f>Granumometrias!M35</f>
        <v>38.099999999999994</v>
      </c>
      <c r="B5" s="24">
        <f>Granumometrias!N35</f>
        <v>100</v>
      </c>
      <c r="C5" s="24">
        <f t="shared" ref="C5:C18" si="1">+B4-B5</f>
        <v>0</v>
      </c>
      <c r="D5" s="24">
        <f t="shared" ref="D5:D18" si="2">+(A4*A5)^0.5</f>
        <v>43.994090512249478</v>
      </c>
      <c r="E5" s="24">
        <f t="shared" ref="E5:E18" si="3">+(A5+A4)/2</f>
        <v>44.449999999999996</v>
      </c>
      <c r="F5" s="24">
        <f t="shared" ref="F5:F18" si="4">+E5*C5</f>
        <v>0</v>
      </c>
      <c r="G5" s="24">
        <f t="shared" ref="G5" si="5">0.94*((1.65*9.81*(A5/1000))^0.5)*1000</f>
        <v>738.18772161286984</v>
      </c>
      <c r="H5" s="24">
        <f t="shared" ref="H5:H18" si="6">+G5/$G$24</f>
        <v>5.9205801633837973</v>
      </c>
      <c r="I5" s="24">
        <f t="shared" ref="I5:I18" si="7">+(C5/100*H5)</f>
        <v>0</v>
      </c>
      <c r="J5" s="27">
        <f>+Granumometrias!AC35</f>
        <v>0</v>
      </c>
      <c r="K5" s="28">
        <f t="shared" si="0"/>
        <v>0</v>
      </c>
    </row>
    <row r="6" spans="1:11" ht="17.25" thickBot="1" x14ac:dyDescent="0.35">
      <c r="A6" s="24">
        <f>Granumometrias!M36</f>
        <v>25.4</v>
      </c>
      <c r="B6" s="24">
        <f>Granumometrias!N36</f>
        <v>95.421995902373041</v>
      </c>
      <c r="C6" s="24">
        <f t="shared" si="1"/>
        <v>4.5780040976269589</v>
      </c>
      <c r="D6" s="24">
        <f t="shared" si="2"/>
        <v>31.108519733346359</v>
      </c>
      <c r="E6" s="24">
        <f t="shared" si="3"/>
        <v>31.749999999999996</v>
      </c>
      <c r="F6" s="24">
        <f t="shared" si="4"/>
        <v>145.35163009965592</v>
      </c>
      <c r="G6" s="24">
        <f>0.94*((1.65*9.81*(A6/1000))^0.5)*1000</f>
        <v>602.72775077973631</v>
      </c>
      <c r="H6" s="24">
        <f t="shared" si="6"/>
        <v>4.8341334605113886</v>
      </c>
      <c r="I6" s="24">
        <f t="shared" si="7"/>
        <v>0.22130682790696726</v>
      </c>
      <c r="J6" s="27">
        <f>+Granumometrias!AC36</f>
        <v>5.5714309868120093</v>
      </c>
      <c r="K6" s="28">
        <f t="shared" si="0"/>
        <v>9.1921469427400336E-3</v>
      </c>
    </row>
    <row r="7" spans="1:11" ht="17.25" thickBot="1" x14ac:dyDescent="0.35">
      <c r="A7" s="24">
        <f>Granumometrias!M37</f>
        <v>19.100000000000001</v>
      </c>
      <c r="B7" s="24">
        <f>Granumometrias!N37</f>
        <v>81.377180593956993</v>
      </c>
      <c r="C7" s="24">
        <f t="shared" si="1"/>
        <v>14.044815308416048</v>
      </c>
      <c r="D7" s="24">
        <f t="shared" si="2"/>
        <v>22.025893852463739</v>
      </c>
      <c r="E7" s="24">
        <f t="shared" si="3"/>
        <v>22.25</v>
      </c>
      <c r="F7" s="24">
        <f t="shared" si="4"/>
        <v>312.49714061225706</v>
      </c>
      <c r="G7" s="24">
        <f t="shared" ref="G7:G9" si="8">0.94*((1.65*9.81*(A7/1000))^0.5)*1000</f>
        <v>522.66210474837374</v>
      </c>
      <c r="H7" s="24">
        <f t="shared" si="6"/>
        <v>4.1919728531443727</v>
      </c>
      <c r="I7" s="24">
        <f t="shared" si="7"/>
        <v>0.58875484500306585</v>
      </c>
      <c r="J7" s="27">
        <f>+Granumometrias!AC37</f>
        <v>28.951706452105121</v>
      </c>
      <c r="K7" s="28">
        <f t="shared" si="0"/>
        <v>4.7766604411105612E-2</v>
      </c>
    </row>
    <row r="8" spans="1:11" ht="17.25" thickBot="1" x14ac:dyDescent="0.35">
      <c r="A8" s="24">
        <f>Granumometrias!M38</f>
        <v>9.52</v>
      </c>
      <c r="B8" s="24">
        <f>Granumometrias!N38</f>
        <v>56.072842281144951</v>
      </c>
      <c r="C8" s="24">
        <f t="shared" si="1"/>
        <v>25.304338312812042</v>
      </c>
      <c r="D8" s="24">
        <f t="shared" si="2"/>
        <v>13.484509631425237</v>
      </c>
      <c r="E8" s="24">
        <f t="shared" si="3"/>
        <v>14.31</v>
      </c>
      <c r="F8" s="24">
        <f t="shared" si="4"/>
        <v>362.10508125634033</v>
      </c>
      <c r="G8" s="24">
        <f t="shared" si="8"/>
        <v>368.99697306075552</v>
      </c>
      <c r="H8" s="24">
        <f t="shared" si="6"/>
        <v>2.9595130006753099</v>
      </c>
      <c r="I8" s="24">
        <f t="shared" si="7"/>
        <v>0.74888518210253574</v>
      </c>
      <c r="J8" s="27">
        <f>+Granumometrias!AC38</f>
        <v>56.754831695023263</v>
      </c>
      <c r="K8" s="28">
        <f t="shared" si="0"/>
        <v>9.3638197060330275E-2</v>
      </c>
    </row>
    <row r="9" spans="1:11" ht="17.25" thickBot="1" x14ac:dyDescent="0.35">
      <c r="A9" s="24">
        <f>Granumometrias!M39</f>
        <v>4.76</v>
      </c>
      <c r="B9" s="24">
        <f>Granumometrias!N39</f>
        <v>45.471227100033815</v>
      </c>
      <c r="C9" s="24">
        <f t="shared" si="1"/>
        <v>10.601615181111136</v>
      </c>
      <c r="D9" s="24">
        <f t="shared" si="2"/>
        <v>6.7316565568959321</v>
      </c>
      <c r="E9" s="24">
        <f t="shared" si="3"/>
        <v>7.14</v>
      </c>
      <c r="F9" s="24">
        <f t="shared" si="4"/>
        <v>75.695532393133504</v>
      </c>
      <c r="G9" s="24">
        <f t="shared" si="8"/>
        <v>260.92026188857011</v>
      </c>
      <c r="H9" s="24">
        <f t="shared" si="6"/>
        <v>2.0926917117872597</v>
      </c>
      <c r="I9" s="24">
        <f t="shared" si="7"/>
        <v>0.22185912221069262</v>
      </c>
      <c r="J9" s="27">
        <f>+Granumometrias!AC39</f>
        <v>38.41164721296083</v>
      </c>
      <c r="K9" s="28">
        <f t="shared" si="0"/>
        <v>6.3374294024283212E-2</v>
      </c>
    </row>
    <row r="10" spans="1:11" ht="17.25" thickBot="1" x14ac:dyDescent="0.35">
      <c r="A10" s="24">
        <f>Granumometrias!M40</f>
        <v>2</v>
      </c>
      <c r="B10" s="24">
        <f>Granumometrias!N40</f>
        <v>35.304238855847075</v>
      </c>
      <c r="C10" s="24">
        <f t="shared" si="1"/>
        <v>10.16698824418674</v>
      </c>
      <c r="D10" s="24">
        <f t="shared" si="2"/>
        <v>3.0854497241083023</v>
      </c>
      <c r="E10" s="24">
        <f t="shared" si="3"/>
        <v>3.38</v>
      </c>
      <c r="F10" s="24">
        <f t="shared" si="4"/>
        <v>34.364420265351178</v>
      </c>
      <c r="G10" s="24">
        <f>0.91*((1.65*9.81*(A10/1000))^0.5)*1000</f>
        <v>163.73173577532245</v>
      </c>
      <c r="H10" s="24">
        <f t="shared" si="6"/>
        <v>1.313198307917874</v>
      </c>
      <c r="I10" s="24">
        <f t="shared" si="7"/>
        <v>0.13351271758886943</v>
      </c>
      <c r="J10" s="27">
        <f>+Granumometrias!AC40</f>
        <v>55.11453108107807</v>
      </c>
      <c r="K10" s="29">
        <f t="shared" si="0"/>
        <v>9.0931911312675612E-2</v>
      </c>
    </row>
    <row r="11" spans="1:11" ht="17.25" thickBot="1" x14ac:dyDescent="0.35">
      <c r="A11" s="24">
        <f>Granumometrias!M41</f>
        <v>0.84</v>
      </c>
      <c r="B11" s="24">
        <f>Granumometrias!N41</f>
        <v>22.424805525038025</v>
      </c>
      <c r="C11" s="24">
        <f t="shared" si="1"/>
        <v>12.87943333080905</v>
      </c>
      <c r="D11" s="24">
        <f t="shared" si="2"/>
        <v>1.2961481396815719</v>
      </c>
      <c r="E11" s="24">
        <f t="shared" si="3"/>
        <v>1.42</v>
      </c>
      <c r="F11" s="24">
        <f t="shared" si="4"/>
        <v>18.288795329748851</v>
      </c>
      <c r="G11" s="24">
        <f>0.73*((1.65*9.81*(A11/1000))^0.5)*1000</f>
        <v>85.121443326578998</v>
      </c>
      <c r="H11" s="24">
        <f t="shared" si="6"/>
        <v>0.68271025659546181</v>
      </c>
      <c r="I11" s="24">
        <f t="shared" si="7"/>
        <v>8.7929212340807902E-2</v>
      </c>
      <c r="J11" s="27">
        <f>+Granumometrias!AC41</f>
        <v>91.861606694233785</v>
      </c>
      <c r="K11" s="29">
        <f t="shared" si="0"/>
        <v>0.15155987557386222</v>
      </c>
    </row>
    <row r="12" spans="1:11" ht="17.25" thickBot="1" x14ac:dyDescent="0.35">
      <c r="A12" s="24">
        <f>Granumometrias!M42</f>
        <v>0.42</v>
      </c>
      <c r="B12" s="24">
        <f>Granumometrias!N42</f>
        <v>9.4796747659740532</v>
      </c>
      <c r="C12" s="24">
        <f t="shared" si="1"/>
        <v>12.945130759063971</v>
      </c>
      <c r="D12" s="24">
        <f t="shared" si="2"/>
        <v>0.59396969619669993</v>
      </c>
      <c r="E12" s="24">
        <f t="shared" si="3"/>
        <v>0.63</v>
      </c>
      <c r="F12" s="24">
        <f t="shared" si="4"/>
        <v>8.1554323782103015</v>
      </c>
      <c r="G12" s="24">
        <f>0.49*((1.65*9.81*(A12/1000))^0.5)*1000</f>
        <v>40.401473153834374</v>
      </c>
      <c r="H12" s="24">
        <f t="shared" si="6"/>
        <v>0.32403703492039293</v>
      </c>
      <c r="I12" s="24">
        <f t="shared" si="7"/>
        <v>4.1947017878238652E-2</v>
      </c>
      <c r="J12" s="27">
        <f>+Granumometrias!AC42</f>
        <v>156.97143014210187</v>
      </c>
      <c r="K12" s="29">
        <f t="shared" si="0"/>
        <v>0.25898273802434502</v>
      </c>
    </row>
    <row r="13" spans="1:11" ht="17.25" thickBot="1" x14ac:dyDescent="0.35">
      <c r="A13" s="24">
        <f>Granumometrias!M43</f>
        <v>0.25</v>
      </c>
      <c r="B13" s="24">
        <f>Granumometrias!N43</f>
        <v>4.6043781108899111</v>
      </c>
      <c r="C13" s="24">
        <f>+B12-B13</f>
        <v>4.8752966550841421</v>
      </c>
      <c r="D13" s="24">
        <f t="shared" si="2"/>
        <v>0.32403703492039299</v>
      </c>
      <c r="E13" s="24">
        <f t="shared" si="3"/>
        <v>0.33499999999999996</v>
      </c>
      <c r="F13" s="24">
        <f t="shared" si="4"/>
        <v>1.6332243794531873</v>
      </c>
      <c r="G13" s="24">
        <f>0.49*((1.65*9.81*(A13/1000))^0.5)*1000</f>
        <v>31.170413255200838</v>
      </c>
      <c r="H13" s="24">
        <f t="shared" si="6"/>
        <v>0.25</v>
      </c>
      <c r="I13" s="24">
        <f>+(C13/100*H13)</f>
        <v>1.2188241637710356E-2</v>
      </c>
      <c r="J13" s="27">
        <f>+Granumometrias!AC43</f>
        <v>91.984484081730685</v>
      </c>
      <c r="K13" s="29">
        <f t="shared" si="0"/>
        <v>0.15176260751193793</v>
      </c>
    </row>
    <row r="14" spans="1:11" ht="17.25" thickBot="1" x14ac:dyDescent="0.35">
      <c r="A14" s="24">
        <f>Granumometrias!M44</f>
        <v>0.105</v>
      </c>
      <c r="B14" s="24">
        <f>Granumometrias!N44</f>
        <v>4.379911897685588</v>
      </c>
      <c r="C14" s="24">
        <f t="shared" si="1"/>
        <v>0.22446621320432314</v>
      </c>
      <c r="D14" s="24">
        <f t="shared" si="2"/>
        <v>0.16201851746019649</v>
      </c>
      <c r="E14" s="24">
        <f t="shared" si="3"/>
        <v>0.17749999999999999</v>
      </c>
      <c r="F14" s="24">
        <f t="shared" si="4"/>
        <v>3.9842752843767357E-2</v>
      </c>
      <c r="G14" s="24">
        <f>0.15*((1.65*9.81*(A14/1000))^0.5)*1000</f>
        <v>6.1838989521175067</v>
      </c>
      <c r="H14" s="24">
        <f t="shared" si="6"/>
        <v>4.9597505344958111E-2</v>
      </c>
      <c r="I14" s="24">
        <f t="shared" si="7"/>
        <v>1.1132964209163925E-4</v>
      </c>
      <c r="J14" s="27">
        <f>+Granumometrias!AC44</f>
        <v>52.56574927790156</v>
      </c>
      <c r="K14" s="29">
        <f t="shared" si="0"/>
        <v>8.6726748058345071E-2</v>
      </c>
    </row>
    <row r="15" spans="1:11" ht="17.25" thickBot="1" x14ac:dyDescent="0.35">
      <c r="A15" s="24">
        <f>Granumometrias!M45</f>
        <v>7.3999999999999996E-2</v>
      </c>
      <c r="B15" s="24">
        <f>Granumometrias!N45</f>
        <v>3.9337168641208962</v>
      </c>
      <c r="C15" s="24">
        <f t="shared" si="1"/>
        <v>0.44619503356469181</v>
      </c>
      <c r="D15" s="24">
        <f t="shared" si="2"/>
        <v>8.814760348415604E-2</v>
      </c>
      <c r="E15" s="24">
        <f t="shared" si="3"/>
        <v>8.9499999999999996E-2</v>
      </c>
      <c r="F15" s="24">
        <f t="shared" si="4"/>
        <v>3.9934455504039915E-2</v>
      </c>
      <c r="G15" s="24">
        <f>0.08*((1.65*9.81*(A15/1000))^0.5)*1000</f>
        <v>2.7687409412944359</v>
      </c>
      <c r="H15" s="24">
        <f t="shared" si="6"/>
        <v>2.2206482463241538E-2</v>
      </c>
      <c r="I15" s="30">
        <f t="shared" si="7"/>
        <v>9.9084221880397995E-5</v>
      </c>
      <c r="J15" s="27">
        <f>+Granumometrias!AC45</f>
        <v>6.7680914994796151</v>
      </c>
      <c r="K15" s="29">
        <f t="shared" si="0"/>
        <v>1.1166483392218235E-2</v>
      </c>
    </row>
    <row r="16" spans="1:11" ht="17.25" thickBot="1" x14ac:dyDescent="0.35">
      <c r="A16" s="24">
        <f>Granumometrias!M46</f>
        <v>3.4555410325187469E-2</v>
      </c>
      <c r="B16" s="24">
        <f>Granumometrias!N46</f>
        <v>0.53745626954270598</v>
      </c>
      <c r="C16" s="24">
        <f t="shared" si="1"/>
        <v>3.3962605945781901</v>
      </c>
      <c r="D16" s="24">
        <f t="shared" si="2"/>
        <v>5.0567779900484777E-2</v>
      </c>
      <c r="E16" s="24">
        <f t="shared" si="3"/>
        <v>5.4277705162593733E-2</v>
      </c>
      <c r="F16" s="24">
        <f t="shared" si="4"/>
        <v>0.18434123120785029</v>
      </c>
      <c r="G16" s="24">
        <f>0.03*((1.65*9.81*(A16/1000))^0.5)*1000</f>
        <v>0.70950548574749017</v>
      </c>
      <c r="H16" s="24">
        <f t="shared" si="6"/>
        <v>5.6905364065802681E-3</v>
      </c>
      <c r="I16" s="30">
        <f t="shared" si="7"/>
        <v>1.932654455968114E-4</v>
      </c>
      <c r="J16" s="27">
        <f>+Granumometrias!AC46</f>
        <v>13.440990345889549</v>
      </c>
      <c r="K16" s="31">
        <f t="shared" si="0"/>
        <v>2.2175911109340248E-2</v>
      </c>
    </row>
    <row r="17" spans="1:11" ht="17.25" thickBot="1" x14ac:dyDescent="0.35">
      <c r="A17" s="24">
        <f>Granumometrias!M47</f>
        <v>2.1972654637672489E-2</v>
      </c>
      <c r="B17" s="24">
        <f>Granumometrias!N47</f>
        <v>0.26872813477135299</v>
      </c>
      <c r="C17" s="24">
        <f t="shared" si="1"/>
        <v>0.26872813477135299</v>
      </c>
      <c r="D17" s="24">
        <f t="shared" si="2"/>
        <v>2.7554928723159608E-2</v>
      </c>
      <c r="E17" s="24">
        <f t="shared" si="3"/>
        <v>2.8264032481429981E-2</v>
      </c>
      <c r="F17" s="24">
        <f t="shared" si="4"/>
        <v>7.5953407298516139E-3</v>
      </c>
      <c r="G17" s="24">
        <f>0.01*((1.65*9.81*(A17/1000))^0.5)*1000</f>
        <v>0.18858960053319104</v>
      </c>
      <c r="H17" s="24">
        <f t="shared" si="6"/>
        <v>1.5125689783862951E-3</v>
      </c>
      <c r="I17" s="30">
        <f t="shared" si="7"/>
        <v>4.0646984027475999E-6</v>
      </c>
      <c r="J17" s="27">
        <f>+Granumometrias!AC47</f>
        <v>4.3167502653418168</v>
      </c>
      <c r="K17" s="31">
        <f t="shared" si="0"/>
        <v>7.1220845861790262E-3</v>
      </c>
    </row>
    <row r="18" spans="1:11" ht="17.25" thickBot="1" x14ac:dyDescent="0.35">
      <c r="A18" s="24">
        <f>Granumometrias!M48</f>
        <v>1.2871877277190946E-2</v>
      </c>
      <c r="B18" s="24">
        <f>Granumometrias!N48</f>
        <v>0</v>
      </c>
      <c r="C18" s="24">
        <f t="shared" si="1"/>
        <v>0.26872813477135299</v>
      </c>
      <c r="D18" s="24">
        <f t="shared" si="2"/>
        <v>1.6817529959843116E-2</v>
      </c>
      <c r="E18" s="24">
        <f t="shared" si="3"/>
        <v>1.7422265957431717E-2</v>
      </c>
      <c r="F18" s="24">
        <f t="shared" si="4"/>
        <v>4.6818530342310656E-3</v>
      </c>
      <c r="G18" s="24">
        <f>0.01*((1.65*9.81*(A18/1000))^0.5)*1000</f>
        <v>0.14434356291405975</v>
      </c>
      <c r="H18" s="24">
        <f t="shared" si="6"/>
        <v>1.1576968977943835E-3</v>
      </c>
      <c r="I18" s="30">
        <f t="shared" si="7"/>
        <v>3.1110572797486635E-6</v>
      </c>
      <c r="J18" s="27">
        <f>+Granumometrias!AC48</f>
        <v>3.3944443130670021</v>
      </c>
      <c r="K18" s="31">
        <f t="shared" si="0"/>
        <v>5.6003979926374636E-3</v>
      </c>
    </row>
    <row r="19" spans="1:11" ht="17.25" hidden="1" thickBot="1" x14ac:dyDescent="0.35">
      <c r="A19" s="24"/>
      <c r="B19" s="24"/>
      <c r="C19" s="24"/>
      <c r="D19" s="24"/>
      <c r="E19" s="24"/>
      <c r="F19" s="24"/>
      <c r="G19" s="24"/>
      <c r="H19" s="24"/>
      <c r="I19" s="30"/>
      <c r="J19" s="27"/>
      <c r="K19" s="31"/>
    </row>
    <row r="20" spans="1:11" ht="17.25" hidden="1" thickBot="1" x14ac:dyDescent="0.35">
      <c r="A20" s="24"/>
      <c r="B20" s="24"/>
      <c r="C20" s="24"/>
      <c r="D20" s="24"/>
      <c r="E20" s="24"/>
      <c r="F20" s="24"/>
      <c r="G20" s="24"/>
      <c r="H20" s="24"/>
      <c r="I20" s="30"/>
      <c r="J20" s="27"/>
      <c r="K20" s="33"/>
    </row>
    <row r="21" spans="1:11" ht="17.25" hidden="1" thickBot="1" x14ac:dyDescent="0.35">
      <c r="A21" s="24"/>
      <c r="B21" s="24"/>
      <c r="C21" s="24"/>
      <c r="D21" s="24"/>
      <c r="E21" s="24"/>
      <c r="F21" s="24"/>
      <c r="G21" s="24"/>
      <c r="H21" s="24"/>
      <c r="I21" s="30"/>
      <c r="J21" s="27"/>
      <c r="K21" s="33"/>
    </row>
    <row r="22" spans="1:11" ht="26.25" thickBot="1" x14ac:dyDescent="0.3">
      <c r="E22" s="24" t="s">
        <v>52</v>
      </c>
      <c r="F22" s="24">
        <f>+SUM(F4:F21)/100</f>
        <v>9.5836765234747006</v>
      </c>
      <c r="G22" s="34"/>
      <c r="H22" s="24" t="s">
        <v>53</v>
      </c>
      <c r="I22" s="32">
        <f>+SUM(I10:I21)</f>
        <v>0.27598804451087772</v>
      </c>
      <c r="J22" s="35">
        <f>+SUM(J4:J21)</f>
        <v>606.1076940477252</v>
      </c>
      <c r="K22" s="36">
        <f>+SUM(K4:K21)</f>
        <v>0.99999999999999989</v>
      </c>
    </row>
    <row r="24" spans="1:11" x14ac:dyDescent="0.25">
      <c r="A24" s="37">
        <v>4</v>
      </c>
      <c r="B24" s="37">
        <f>(B10-B9)/(A10-A9)*(A24-A10)+B10</f>
        <v>42.671621641489644</v>
      </c>
      <c r="C24" s="37"/>
      <c r="D24" s="37"/>
      <c r="E24" s="37"/>
      <c r="F24" s="37"/>
      <c r="G24" s="37">
        <f>0.49*((1.65*9.81*(A24/1000))^0.5)*1000</f>
        <v>124.68165302080335</v>
      </c>
      <c r="H24" s="37"/>
      <c r="I24" s="38">
        <f>+(1-(B24/100))+I22</f>
        <v>0.84927182809598123</v>
      </c>
      <c r="J24" s="37"/>
    </row>
    <row r="25" spans="1:11" x14ac:dyDescent="0.25">
      <c r="B25" s="12">
        <f>100-B24</f>
        <v>57.328378358510356</v>
      </c>
    </row>
    <row r="27" spans="1:11" x14ac:dyDescent="0.25">
      <c r="J27" s="39" t="s">
        <v>54</v>
      </c>
      <c r="K27" s="40">
        <f>+SUM(K20:K21)</f>
        <v>0</v>
      </c>
    </row>
    <row r="28" spans="1:11" x14ac:dyDescent="0.25">
      <c r="J28" s="41" t="s">
        <v>55</v>
      </c>
      <c r="K28" s="42">
        <f>+SUM(K16:K19)</f>
        <v>3.489839368815674E-2</v>
      </c>
    </row>
    <row r="29" spans="1:11" x14ac:dyDescent="0.25">
      <c r="J29" s="43" t="s">
        <v>56</v>
      </c>
      <c r="K29" s="44">
        <f>+SUM(K10:K15)</f>
        <v>0.75113036387338417</v>
      </c>
    </row>
    <row r="30" spans="1:11" x14ac:dyDescent="0.25">
      <c r="J30" t="s">
        <v>57</v>
      </c>
      <c r="K30" s="45">
        <f>+SUM(K4:K9)</f>
        <v>0.21397124243845914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Granumometrias</vt:lpstr>
      <vt:lpstr>Pantagoras</vt:lpstr>
      <vt:lpstr>Grafica juntas</vt:lpstr>
      <vt:lpstr>Mery_desarenador</vt:lpstr>
      <vt:lpstr>Mery_azud_descarga_fondo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AGUSTIN MORENO</cp:lastModifiedBy>
  <dcterms:created xsi:type="dcterms:W3CDTF">2015-06-05T18:17:20Z</dcterms:created>
  <dcterms:modified xsi:type="dcterms:W3CDTF">2021-06-07T15:16:33Z</dcterms:modified>
</cp:coreProperties>
</file>